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下达表" sheetId="1" r:id="rId1"/>
    <sheet name="测算表" sheetId="2" r:id="rId2"/>
  </sheets>
  <definedNames>
    <definedName name="_xlnm.Print_Area" localSheetId="1">'测算表'!$A$1:$AO$22</definedName>
  </definedNames>
  <calcPr fullCalcOnLoad="1"/>
</workbook>
</file>

<file path=xl/comments2.xml><?xml version="1.0" encoding="utf-8"?>
<comments xmlns="http://schemas.openxmlformats.org/spreadsheetml/2006/main">
  <authors>
    <author>杨成虎</author>
  </authors>
  <commentList>
    <comment ref="H10" authorId="0">
      <text>
        <r>
          <rPr>
            <b/>
            <sz val="9"/>
            <rFont val="宋体"/>
            <family val="0"/>
          </rPr>
          <t>杨成虎:</t>
        </r>
        <r>
          <rPr>
            <sz val="9"/>
            <rFont val="宋体"/>
            <family val="0"/>
          </rPr>
          <t xml:space="preserve">
大永公路</t>
        </r>
      </text>
    </comment>
    <comment ref="H6" authorId="0">
      <text>
        <r>
          <rPr>
            <b/>
            <sz val="9"/>
            <rFont val="宋体"/>
            <family val="0"/>
          </rPr>
          <t>杨成虎:</t>
        </r>
        <r>
          <rPr>
            <sz val="9"/>
            <rFont val="宋体"/>
            <family val="0"/>
          </rPr>
          <t xml:space="preserve">
待分小微和其他企业退税数</t>
        </r>
      </text>
    </comment>
  </commentList>
</comments>
</file>

<file path=xl/sharedStrings.xml><?xml version="1.0" encoding="utf-8"?>
<sst xmlns="http://schemas.openxmlformats.org/spreadsheetml/2006/main" count="94" uniqueCount="75">
  <si>
    <t>附件</t>
  </si>
  <si>
    <t>楚雄州2022年支持留抵退税补助资金第二次
清算下达表</t>
  </si>
  <si>
    <t>单位：万元</t>
  </si>
  <si>
    <r>
      <t>地</t>
    </r>
    <r>
      <rPr>
        <sz val="14"/>
        <rFont val="Times New Roman"/>
        <family val="1"/>
      </rPr>
      <t xml:space="preserve">    </t>
    </r>
    <r>
      <rPr>
        <sz val="14"/>
        <rFont val="黑体"/>
        <family val="0"/>
      </rPr>
      <t>区</t>
    </r>
  </si>
  <si>
    <t>清算此前下达增值税留抵退税补助资金</t>
  </si>
  <si>
    <r>
      <t>2022</t>
    </r>
    <r>
      <rPr>
        <sz val="14"/>
        <rFont val="宋体"/>
        <family val="0"/>
      </rPr>
      <t>年政府收支分类科目</t>
    </r>
  </si>
  <si>
    <r>
      <t>1100296</t>
    </r>
    <r>
      <rPr>
        <sz val="13"/>
        <color indexed="8"/>
        <rFont val="黑体"/>
        <family val="0"/>
      </rPr>
      <t>增值税留抵退税转移支付收入</t>
    </r>
  </si>
  <si>
    <t>楚雄州合计</t>
  </si>
  <si>
    <t>楚雄州本级</t>
  </si>
  <si>
    <t>楚雄市</t>
  </si>
  <si>
    <t>双柏县</t>
  </si>
  <si>
    <t>牟定县</t>
  </si>
  <si>
    <t>南华县</t>
  </si>
  <si>
    <t>姚安县</t>
  </si>
  <si>
    <t>大姚县</t>
  </si>
  <si>
    <t>永仁县</t>
  </si>
  <si>
    <t>元谋县</t>
  </si>
  <si>
    <t>武定县</t>
  </si>
  <si>
    <t>禄丰市</t>
  </si>
  <si>
    <t>2022年第四批支持基层落实减税降费和重点民生等转移支付资金下达测算表（根据1-6月累计退税数测算）</t>
  </si>
  <si>
    <t>编制单位（盖章）：</t>
  </si>
  <si>
    <t>单位：万元，保留2为小数位</t>
  </si>
  <si>
    <t>注：请于当月6日前将上月实际留底退税统计表（电子文档+扫描盖章件）报州财政局预算科！</t>
  </si>
  <si>
    <t>县市</t>
  </si>
  <si>
    <t>1-8月中央和省级应补助数</t>
  </si>
  <si>
    <t>2022年1-8月累计数</t>
  </si>
  <si>
    <t>1100296增值税留抵退税转移支付收入（省已下达数）</t>
  </si>
  <si>
    <t>截至目前已收到省补助资金结合各县市1-8月实际退税数按云财预〔2022〕85号中央和省应补助数占比测算各县市应补助金额</t>
  </si>
  <si>
    <t>本次清算下达资金（第二次清算下达）</t>
  </si>
  <si>
    <t>合计</t>
  </si>
  <si>
    <t>原有政策</t>
  </si>
  <si>
    <t>新出台政策</t>
  </si>
  <si>
    <t>小计</t>
  </si>
  <si>
    <t>101010136.增值税留抵退税
（实际退税金额）</t>
  </si>
  <si>
    <t>101010139.小微企业原政策增值税留抵退税</t>
  </si>
  <si>
    <t>101010141.其他企业原政策增值税留抵退税</t>
  </si>
  <si>
    <t>101010140.小微企业新增政策增值税留抵退税</t>
  </si>
  <si>
    <t>101010142.其他企业新增政策增值税留抵退税</t>
  </si>
  <si>
    <t>各级占比％</t>
  </si>
  <si>
    <t>其中：</t>
  </si>
  <si>
    <t>小微企业应补助金额（原有政策小微地方负担50％部分中央补助90％、省级补助10％，州县不用负担）</t>
  </si>
  <si>
    <t>其他企业应补助金额（原有政策其他企业就地负担15％部分中央补助90％、省级补助10％，州县需全额负担35％）</t>
  </si>
  <si>
    <t>实际全口径退税金额</t>
  </si>
  <si>
    <t>应补助金额（原有政策小微地方负担50％部分中央补助90％、省级补助10％，州县不用负担）</t>
  </si>
  <si>
    <t>应补助金额（原有政策其他企业就地负担15％部分中央补助90％、省级补助10％，州县需全额负担35％）</t>
  </si>
  <si>
    <t>应补助金额（新出台政策小微地方负担50％部分中央补助90％、省级补助10％，州县不用负担）</t>
  </si>
  <si>
    <t>应补助金额（新出台政策其他企业地方分摊35％部分中央补助78％、省级补助22％；其他企业就地负担15％部分中央补助90％、省级补助10％。州县不用负担）</t>
  </si>
  <si>
    <t>（云财预〔2022〕49号）楚财预〔2022〕37号已下达资金</t>
  </si>
  <si>
    <t>（云财预〔2022〕71号第一次清算）楚财预〔2022〕42号已下达资金</t>
  </si>
  <si>
    <t>云财预〔2022〕96号第三批（资金列入2023年预算，库款于2022年先行单独调拨）</t>
  </si>
  <si>
    <t>云财基层〔2022〕41号第四批</t>
  </si>
  <si>
    <t>云财预〔2022〕122号第二次清算下达2022年支持留抵退税补助资金</t>
  </si>
  <si>
    <t>微型</t>
  </si>
  <si>
    <t>小型</t>
  </si>
  <si>
    <t>中型</t>
  </si>
  <si>
    <t>50％中央90％</t>
  </si>
  <si>
    <t>50％省级10％</t>
  </si>
  <si>
    <t>15％中央90％</t>
  </si>
  <si>
    <t>15％省级10％</t>
  </si>
  <si>
    <t>35％州县100％</t>
  </si>
  <si>
    <t>35％中央78％</t>
  </si>
  <si>
    <t>35％省级22％</t>
  </si>
  <si>
    <t>楚雄州</t>
  </si>
  <si>
    <t>州本级</t>
  </si>
  <si>
    <t>县市小计</t>
  </si>
  <si>
    <t>楚雄市（本级）</t>
  </si>
  <si>
    <t>高新区</t>
  </si>
  <si>
    <r>
      <rPr>
        <sz val="12"/>
        <rFont val="宋体"/>
        <family val="0"/>
      </rPr>
      <t>双柏县</t>
    </r>
  </si>
  <si>
    <r>
      <rPr>
        <sz val="12"/>
        <rFont val="宋体"/>
        <family val="0"/>
      </rPr>
      <t>牟定县</t>
    </r>
  </si>
  <si>
    <r>
      <rPr>
        <sz val="12"/>
        <rFont val="宋体"/>
        <family val="0"/>
      </rPr>
      <t>南华县</t>
    </r>
  </si>
  <si>
    <r>
      <rPr>
        <sz val="12"/>
        <rFont val="宋体"/>
        <family val="0"/>
      </rPr>
      <t>姚安县</t>
    </r>
  </si>
  <si>
    <r>
      <rPr>
        <sz val="12"/>
        <rFont val="宋体"/>
        <family val="0"/>
      </rPr>
      <t>大姚县</t>
    </r>
  </si>
  <si>
    <r>
      <rPr>
        <sz val="12"/>
        <rFont val="宋体"/>
        <family val="0"/>
      </rPr>
      <t>永仁县</t>
    </r>
  </si>
  <si>
    <r>
      <rPr>
        <sz val="12"/>
        <rFont val="宋体"/>
        <family val="0"/>
      </rPr>
      <t>元谋县</t>
    </r>
  </si>
  <si>
    <r>
      <rPr>
        <sz val="12"/>
        <rFont val="宋体"/>
        <family val="0"/>
      </rPr>
      <t>武定县</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</si>
</sst>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
    <numFmt numFmtId="178" formatCode="#,##0_ "/>
    <numFmt numFmtId="179" formatCode="\ @"/>
  </numFmts>
  <fonts count="69">
    <font>
      <sz val="11"/>
      <color theme="1"/>
      <name val="Calibri"/>
      <family val="0"/>
    </font>
    <font>
      <sz val="11"/>
      <name val="宋体"/>
      <family val="0"/>
    </font>
    <font>
      <sz val="18"/>
      <color indexed="8"/>
      <name val="宋体"/>
      <family val="0"/>
    </font>
    <font>
      <sz val="12"/>
      <color indexed="8"/>
      <name val="宋体"/>
      <family val="0"/>
    </font>
    <font>
      <b/>
      <sz val="12"/>
      <name val="宋体"/>
      <family val="0"/>
    </font>
    <font>
      <sz val="12"/>
      <color indexed="8"/>
      <name val="Times New Roman"/>
      <family val="1"/>
    </font>
    <font>
      <sz val="12"/>
      <name val="宋体"/>
      <family val="0"/>
    </font>
    <font>
      <sz val="12"/>
      <name val="Times New Roman"/>
      <family val="1"/>
    </font>
    <font>
      <sz val="16"/>
      <color indexed="8"/>
      <name val="黑体"/>
      <family val="0"/>
    </font>
    <font>
      <sz val="20"/>
      <color indexed="8"/>
      <name val="方正小标宋简体"/>
      <family val="0"/>
    </font>
    <font>
      <sz val="22"/>
      <color indexed="8"/>
      <name val="Times New Roman"/>
      <family val="1"/>
    </font>
    <font>
      <sz val="26"/>
      <color indexed="8"/>
      <name val="Times New Roman"/>
      <family val="1"/>
    </font>
    <font>
      <sz val="14"/>
      <name val="黑体"/>
      <family val="0"/>
    </font>
    <font>
      <sz val="14"/>
      <color indexed="8"/>
      <name val="Times New Roman"/>
      <family val="1"/>
    </font>
    <font>
      <sz val="13"/>
      <color indexed="8"/>
      <name val="Times New Roman"/>
      <family val="1"/>
    </font>
    <font>
      <sz val="14"/>
      <name val="宋体"/>
      <family val="0"/>
    </font>
    <font>
      <sz val="14"/>
      <name val="Times New Roman"/>
      <family val="1"/>
    </font>
    <font>
      <u val="single"/>
      <sz val="11"/>
      <color indexed="2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sz val="11"/>
      <color indexed="19"/>
      <name val="宋体"/>
      <family val="0"/>
    </font>
    <font>
      <i/>
      <sz val="11"/>
      <color indexed="23"/>
      <name val="宋体"/>
      <family val="0"/>
    </font>
    <font>
      <sz val="11"/>
      <color indexed="10"/>
      <name val="宋体"/>
      <family val="0"/>
    </font>
    <font>
      <sz val="11"/>
      <color indexed="53"/>
      <name val="宋体"/>
      <family val="0"/>
    </font>
    <font>
      <b/>
      <sz val="15"/>
      <color indexed="54"/>
      <name val="宋体"/>
      <family val="0"/>
    </font>
    <font>
      <sz val="11"/>
      <color indexed="8"/>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3"/>
      <color indexed="8"/>
      <name val="黑体"/>
      <family val="0"/>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12"/>
      <color theme="1"/>
      <name val="Calibri"/>
      <family val="0"/>
    </font>
    <font>
      <sz val="12"/>
      <color theme="1"/>
      <name val="Times New Roman"/>
      <family val="1"/>
    </font>
    <font>
      <sz val="11"/>
      <name val="Calibri"/>
      <family val="0"/>
    </font>
    <font>
      <sz val="12"/>
      <color theme="1"/>
      <name val="宋体"/>
      <family val="0"/>
    </font>
    <font>
      <sz val="16"/>
      <color theme="1"/>
      <name val="黑体"/>
      <family val="0"/>
    </font>
    <font>
      <sz val="20"/>
      <color theme="1"/>
      <name val="方正小标宋简体"/>
      <family val="0"/>
    </font>
    <font>
      <sz val="26"/>
      <color theme="1"/>
      <name val="Times New Roman"/>
      <family val="1"/>
    </font>
    <font>
      <sz val="12"/>
      <color rgb="FF000000"/>
      <name val="宋体"/>
      <family val="0"/>
    </font>
    <font>
      <sz val="14"/>
      <color rgb="FF000000"/>
      <name val="Times New Roman"/>
      <family val="1"/>
    </font>
    <font>
      <sz val="13"/>
      <color rgb="FF000000"/>
      <name val="Times New Roman"/>
      <family val="1"/>
    </font>
    <font>
      <b/>
      <sz val="8"/>
      <name val="Calibri"/>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29" fillId="0" borderId="0">
      <alignment vertical="center"/>
      <protection/>
    </xf>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0"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0"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72">
    <xf numFmtId="0" fontId="0" fillId="0" borderId="0" xfId="0" applyFont="1" applyAlignment="1">
      <alignment vertical="center"/>
    </xf>
    <xf numFmtId="0" fontId="57"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58" fillId="0" borderId="9" xfId="0" applyFont="1" applyBorder="1" applyAlignment="1">
      <alignment horizontal="center" vertical="center"/>
    </xf>
    <xf numFmtId="0" fontId="58" fillId="33" borderId="10" xfId="0" applyFont="1" applyFill="1" applyBorder="1" applyAlignment="1">
      <alignment horizontal="center" vertical="center"/>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58" fillId="0" borderId="13" xfId="0" applyFont="1" applyBorder="1" applyAlignment="1">
      <alignment horizontal="center" vertical="center"/>
    </xf>
    <xf numFmtId="0" fontId="58"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58" fillId="33" borderId="13" xfId="0" applyFont="1" applyFill="1" applyBorder="1" applyAlignment="1">
      <alignment horizontal="center" vertical="center"/>
    </xf>
    <xf numFmtId="0" fontId="58" fillId="33" borderId="13" xfId="0" applyFont="1" applyFill="1" applyBorder="1" applyAlignment="1">
      <alignment horizontal="center" vertical="center" wrapText="1"/>
    </xf>
    <xf numFmtId="0" fontId="58" fillId="0" borderId="14" xfId="0" applyFont="1" applyBorder="1" applyAlignment="1">
      <alignment horizontal="center" vertical="center"/>
    </xf>
    <xf numFmtId="0" fontId="58" fillId="33" borderId="14" xfId="0" applyFont="1" applyFill="1" applyBorder="1" applyAlignment="1">
      <alignment horizontal="center" vertical="center"/>
    </xf>
    <xf numFmtId="0" fontId="58" fillId="33" borderId="14" xfId="0" applyFont="1" applyFill="1" applyBorder="1" applyAlignment="1">
      <alignment horizontal="center" vertical="center" wrapText="1"/>
    </xf>
    <xf numFmtId="0" fontId="4" fillId="0" borderId="10" xfId="0" applyFont="1" applyFill="1" applyBorder="1" applyAlignment="1">
      <alignment horizontal="center" vertical="center"/>
    </xf>
    <xf numFmtId="176" fontId="59" fillId="33" borderId="10" xfId="0" applyNumberFormat="1" applyFont="1" applyFill="1" applyBorder="1" applyAlignment="1">
      <alignment vertical="center"/>
    </xf>
    <xf numFmtId="177" fontId="59" fillId="33" borderId="10" xfId="0" applyNumberFormat="1" applyFont="1" applyFill="1" applyBorder="1" applyAlignment="1">
      <alignment vertical="center"/>
    </xf>
    <xf numFmtId="176" fontId="59" fillId="34" borderId="10" xfId="0" applyNumberFormat="1" applyFont="1" applyFill="1" applyBorder="1" applyAlignment="1">
      <alignment vertical="center"/>
    </xf>
    <xf numFmtId="0" fontId="6" fillId="0" borderId="10" xfId="0" applyFont="1" applyFill="1" applyBorder="1" applyAlignment="1">
      <alignment horizontal="center" vertical="center"/>
    </xf>
    <xf numFmtId="4" fontId="59" fillId="33" borderId="10" xfId="0" applyNumberFormat="1" applyFont="1" applyFill="1" applyBorder="1" applyAlignment="1">
      <alignment vertical="center"/>
    </xf>
    <xf numFmtId="176" fontId="59" fillId="0" borderId="10" xfId="0" applyNumberFormat="1" applyFont="1" applyBorder="1" applyAlignment="1">
      <alignment vertical="center"/>
    </xf>
    <xf numFmtId="0" fontId="7" fillId="0" borderId="10"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0" fillId="0" borderId="15" xfId="0" applyFill="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vertical="center" wrapText="1"/>
    </xf>
    <xf numFmtId="0" fontId="60" fillId="35" borderId="10" xfId="0" applyFont="1" applyFill="1" applyBorder="1" applyAlignment="1">
      <alignment horizontal="center" vertical="center" wrapText="1"/>
    </xf>
    <xf numFmtId="176" fontId="59" fillId="0" borderId="10" xfId="0" applyNumberFormat="1" applyFont="1" applyBorder="1" applyAlignment="1">
      <alignment vertical="center"/>
    </xf>
    <xf numFmtId="4" fontId="59" fillId="0" borderId="10" xfId="0" applyNumberFormat="1" applyFont="1" applyBorder="1" applyAlignment="1">
      <alignment vertical="center"/>
    </xf>
    <xf numFmtId="176" fontId="59" fillId="0" borderId="10" xfId="0" applyNumberFormat="1" applyFont="1" applyFill="1" applyBorder="1" applyAlignment="1">
      <alignment vertical="center"/>
    </xf>
    <xf numFmtId="0" fontId="0" fillId="0" borderId="10" xfId="0" applyFill="1" applyBorder="1" applyAlignment="1">
      <alignment vertical="center" wrapText="1"/>
    </xf>
    <xf numFmtId="0" fontId="60" fillId="36" borderId="10" xfId="0" applyFont="1" applyFill="1" applyBorder="1" applyAlignment="1">
      <alignment horizontal="center" vertical="center" wrapText="1"/>
    </xf>
    <xf numFmtId="0" fontId="0" fillId="36" borderId="10" xfId="0" applyFill="1" applyBorder="1" applyAlignment="1">
      <alignment horizontal="center" vertical="center" wrapText="1"/>
    </xf>
    <xf numFmtId="0" fontId="60" fillId="36" borderId="10" xfId="0" applyFont="1" applyFill="1" applyBorder="1" applyAlignment="1">
      <alignment horizontal="center" vertical="center" wrapText="1"/>
    </xf>
    <xf numFmtId="0" fontId="0" fillId="0" borderId="10" xfId="0" applyBorder="1" applyAlignment="1">
      <alignment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33" borderId="11" xfId="0" applyFill="1" applyBorder="1" applyAlignment="1">
      <alignment horizontal="center" vertical="center" wrapText="1"/>
    </xf>
    <xf numFmtId="0" fontId="0" fillId="33" borderId="12" xfId="0" applyFill="1" applyBorder="1" applyAlignment="1">
      <alignment horizontal="center" vertical="center" wrapText="1"/>
    </xf>
    <xf numFmtId="0" fontId="0" fillId="0" borderId="14" xfId="0" applyBorder="1" applyAlignment="1">
      <alignment horizontal="center" vertical="center" wrapText="1"/>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9" xfId="0" applyFont="1" applyBorder="1" applyAlignment="1">
      <alignment horizontal="center" vertical="center" wrapText="1"/>
    </xf>
    <xf numFmtId="0" fontId="58" fillId="0" borderId="18" xfId="0" applyFont="1" applyBorder="1" applyAlignment="1">
      <alignment horizontal="center" vertical="center"/>
    </xf>
    <xf numFmtId="0" fontId="58" fillId="0" borderId="0" xfId="0" applyFont="1" applyAlignment="1">
      <alignment horizontal="center" vertical="center"/>
    </xf>
    <xf numFmtId="0" fontId="58" fillId="0" borderId="13" xfId="0" applyFont="1" applyBorder="1" applyAlignment="1">
      <alignment horizontal="center" vertical="center" wrapText="1"/>
    </xf>
    <xf numFmtId="0" fontId="0" fillId="0" borderId="15" xfId="0" applyBorder="1" applyAlignment="1">
      <alignment horizontal="center" vertical="center" wrapText="1"/>
    </xf>
    <xf numFmtId="0" fontId="0" fillId="33" borderId="15"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 xfId="0" applyFill="1" applyBorder="1" applyAlignment="1">
      <alignment horizontal="center" vertical="center" wrapText="1"/>
    </xf>
    <xf numFmtId="0" fontId="58" fillId="0" borderId="14" xfId="0" applyFont="1" applyBorder="1" applyAlignment="1">
      <alignment horizontal="center" vertical="center" wrapText="1"/>
    </xf>
    <xf numFmtId="178" fontId="59" fillId="34" borderId="10" xfId="0" applyNumberFormat="1" applyFont="1" applyFill="1" applyBorder="1" applyAlignment="1">
      <alignment vertical="center"/>
    </xf>
    <xf numFmtId="178" fontId="59" fillId="0" borderId="10" xfId="0" applyNumberFormat="1" applyFont="1" applyBorder="1" applyAlignment="1">
      <alignment vertical="center"/>
    </xf>
    <xf numFmtId="0" fontId="59" fillId="0" borderId="0" xfId="0" applyFont="1" applyFill="1" applyBorder="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63" fillId="0" borderId="0" xfId="0" applyFont="1" applyFill="1" applyBorder="1" applyAlignment="1">
      <alignment horizontal="center" vertical="center" wrapText="1"/>
    </xf>
    <xf numFmtId="0" fontId="10" fillId="0" borderId="0" xfId="34" applyFont="1" applyFill="1" applyAlignment="1">
      <alignment vertical="center" wrapText="1"/>
      <protection/>
    </xf>
    <xf numFmtId="0" fontId="64" fillId="0" borderId="0" xfId="0" applyFont="1" applyFill="1" applyBorder="1" applyAlignment="1">
      <alignment horizontal="center" vertical="center" wrapText="1"/>
    </xf>
    <xf numFmtId="0" fontId="65" fillId="0" borderId="0" xfId="34" applyFont="1" applyFill="1" applyAlignment="1">
      <alignment horizontal="right" vertical="center" wrapText="1"/>
      <protection/>
    </xf>
    <xf numFmtId="0" fontId="12" fillId="0" borderId="10" xfId="0" applyFont="1" applyFill="1" applyBorder="1" applyAlignment="1">
      <alignment horizontal="center" vertical="center" wrapText="1"/>
    </xf>
    <xf numFmtId="179" fontId="66" fillId="0" borderId="10" xfId="34" applyNumberFormat="1" applyFont="1" applyFill="1" applyBorder="1" applyAlignment="1">
      <alignment horizontal="center" vertical="center" wrapText="1"/>
      <protection/>
    </xf>
    <xf numFmtId="179" fontId="67" fillId="0" borderId="10" xfId="34" applyNumberFormat="1" applyFont="1" applyFill="1" applyBorder="1" applyAlignment="1">
      <alignment horizontal="center" vertical="center" wrapText="1"/>
      <protection/>
    </xf>
    <xf numFmtId="0" fontId="15" fillId="0" borderId="10" xfId="0" applyFont="1" applyFill="1" applyBorder="1" applyAlignment="1">
      <alignment horizontal="distributed" vertical="center"/>
    </xf>
    <xf numFmtId="3" fontId="16" fillId="0" borderId="10" xfId="0" applyNumberFormat="1" applyFont="1" applyFill="1" applyBorder="1" applyAlignment="1">
      <alignment horizontal="right" vertical="center" inden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按省区上报情况测算结果"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17"/>
  <sheetViews>
    <sheetView tabSelected="1" zoomScale="85" zoomScaleNormal="85" zoomScaleSheetLayoutView="100" workbookViewId="0" topLeftCell="B1">
      <selection activeCell="P5" sqref="P5"/>
    </sheetView>
  </sheetViews>
  <sheetFormatPr defaultColWidth="9.00390625" defaultRowHeight="15"/>
  <cols>
    <col min="1" max="1" width="20.57421875" style="61" hidden="1" customWidth="1"/>
    <col min="2" max="2" width="36.7109375" style="60" customWidth="1"/>
    <col min="3" max="3" width="41.57421875" style="60" customWidth="1"/>
    <col min="4" max="16384" width="9.00390625" style="60" customWidth="1"/>
  </cols>
  <sheetData>
    <row r="1" spans="1:2" s="60" customFormat="1" ht="34.5" customHeight="1">
      <c r="A1" s="61"/>
      <c r="B1" s="62" t="s">
        <v>0</v>
      </c>
    </row>
    <row r="2" spans="1:4" s="60" customFormat="1" ht="66.75" customHeight="1">
      <c r="A2" s="61"/>
      <c r="B2" s="63" t="s">
        <v>1</v>
      </c>
      <c r="C2" s="63"/>
      <c r="D2" s="64"/>
    </row>
    <row r="3" spans="1:4" s="60" customFormat="1" ht="30.75" customHeight="1">
      <c r="A3" s="61"/>
      <c r="B3" s="65"/>
      <c r="C3" s="66" t="s">
        <v>2</v>
      </c>
      <c r="D3" s="64"/>
    </row>
    <row r="4" spans="1:3" s="60" customFormat="1" ht="67.5" customHeight="1">
      <c r="A4" s="61"/>
      <c r="B4" s="67" t="s">
        <v>3</v>
      </c>
      <c r="C4" s="67" t="s">
        <v>4</v>
      </c>
    </row>
    <row r="5" spans="1:3" s="60" customFormat="1" ht="48" customHeight="1">
      <c r="A5" s="61"/>
      <c r="B5" s="68" t="s">
        <v>5</v>
      </c>
      <c r="C5" s="69" t="s">
        <v>6</v>
      </c>
    </row>
    <row r="6" spans="1:3" s="60" customFormat="1" ht="30" customHeight="1">
      <c r="A6" s="61"/>
      <c r="B6" s="70" t="s">
        <v>7</v>
      </c>
      <c r="C6" s="71">
        <f>SUM(C7:C17)</f>
        <v>-7125</v>
      </c>
    </row>
    <row r="7" spans="1:3" s="60" customFormat="1" ht="30" customHeight="1">
      <c r="A7" s="61"/>
      <c r="B7" s="70" t="s">
        <v>8</v>
      </c>
      <c r="C7" s="71">
        <v>-6530</v>
      </c>
    </row>
    <row r="8" spans="1:3" s="60" customFormat="1" ht="30" customHeight="1">
      <c r="A8" s="61"/>
      <c r="B8" s="70" t="s">
        <v>9</v>
      </c>
      <c r="C8" s="71">
        <v>-654</v>
      </c>
    </row>
    <row r="9" spans="1:3" s="60" customFormat="1" ht="30" customHeight="1">
      <c r="A9" s="61"/>
      <c r="B9" s="70" t="s">
        <v>10</v>
      </c>
      <c r="C9" s="71">
        <v>396</v>
      </c>
    </row>
    <row r="10" spans="1:3" s="60" customFormat="1" ht="30" customHeight="1">
      <c r="A10" s="61"/>
      <c r="B10" s="70" t="s">
        <v>11</v>
      </c>
      <c r="C10" s="71">
        <v>6</v>
      </c>
    </row>
    <row r="11" spans="1:3" s="60" customFormat="1" ht="30" customHeight="1">
      <c r="A11" s="61"/>
      <c r="B11" s="70" t="s">
        <v>12</v>
      </c>
      <c r="C11" s="71">
        <v>-222</v>
      </c>
    </row>
    <row r="12" spans="1:3" s="60" customFormat="1" ht="30" customHeight="1">
      <c r="A12" s="61"/>
      <c r="B12" s="70" t="s">
        <v>13</v>
      </c>
      <c r="C12" s="71">
        <v>-1</v>
      </c>
    </row>
    <row r="13" spans="1:3" s="60" customFormat="1" ht="30" customHeight="1">
      <c r="A13" s="61"/>
      <c r="B13" s="70" t="s">
        <v>14</v>
      </c>
      <c r="C13" s="71">
        <v>-66</v>
      </c>
    </row>
    <row r="14" spans="1:3" s="60" customFormat="1" ht="30" customHeight="1">
      <c r="A14" s="61"/>
      <c r="B14" s="70" t="s">
        <v>15</v>
      </c>
      <c r="C14" s="71">
        <v>-84</v>
      </c>
    </row>
    <row r="15" spans="1:3" s="60" customFormat="1" ht="30" customHeight="1">
      <c r="A15" s="61"/>
      <c r="B15" s="70" t="s">
        <v>16</v>
      </c>
      <c r="C15" s="71">
        <v>146</v>
      </c>
    </row>
    <row r="16" spans="1:3" s="60" customFormat="1" ht="30" customHeight="1">
      <c r="A16" s="61"/>
      <c r="B16" s="70" t="s">
        <v>17</v>
      </c>
      <c r="C16" s="71">
        <v>172</v>
      </c>
    </row>
    <row r="17" spans="1:3" s="60" customFormat="1" ht="30" customHeight="1">
      <c r="A17" s="61"/>
      <c r="B17" s="70" t="s">
        <v>18</v>
      </c>
      <c r="C17" s="71">
        <v>-288</v>
      </c>
    </row>
  </sheetData>
  <sheetProtection/>
  <mergeCells count="1">
    <mergeCell ref="B2:C2"/>
  </mergeCells>
  <printOptions horizontalCentered="1"/>
  <pageMargins left="0.2361111111111111" right="0.2361111111111111" top="1" bottom="0.6062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O22"/>
  <sheetViews>
    <sheetView showZeros="0" view="pageBreakPreview" zoomScaleSheetLayoutView="100" workbookViewId="0" topLeftCell="A1">
      <pane xSplit="1" ySplit="8" topLeftCell="Z9" activePane="bottomRight" state="frozen"/>
      <selection pane="bottomRight" activeCell="AO12" sqref="AO12:AO13"/>
    </sheetView>
  </sheetViews>
  <sheetFormatPr defaultColWidth="9.00390625" defaultRowHeight="15"/>
  <cols>
    <col min="1" max="1" width="15.421875" style="0" customWidth="1"/>
    <col min="2" max="2" width="11.57421875" style="0" customWidth="1"/>
    <col min="3" max="3" width="7.57421875" style="0" customWidth="1"/>
    <col min="4" max="5" width="11.57421875" style="0" customWidth="1"/>
    <col min="6" max="7" width="12.57421875" style="0" customWidth="1"/>
    <col min="8" max="11" width="10.57421875" style="0" customWidth="1"/>
    <col min="12" max="13" width="12.57421875" style="0" customWidth="1"/>
    <col min="14" max="17" width="10.57421875" style="0" customWidth="1"/>
    <col min="18" max="18" width="11.140625" style="0" customWidth="1"/>
    <col min="19" max="20" width="12.57421875" style="0" customWidth="1"/>
    <col min="21" max="21" width="11.140625" style="0" customWidth="1"/>
    <col min="22" max="24" width="10.8515625" style="0" customWidth="1"/>
    <col min="25" max="28" width="12.57421875" style="0" customWidth="1"/>
    <col min="29" max="29" width="11.140625" style="0" customWidth="1"/>
    <col min="30" max="41" width="12.57421875" style="0" customWidth="1"/>
  </cols>
  <sheetData>
    <row r="1" spans="1:41" ht="24" customHeight="1">
      <c r="A1" s="1" t="s">
        <v>19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2.5" customHeight="1">
      <c r="A2" s="2" t="s">
        <v>20</v>
      </c>
      <c r="B2" s="2"/>
      <c r="C2" s="2"/>
      <c r="D2" s="2"/>
      <c r="E2" s="2"/>
      <c r="F2" s="3"/>
      <c r="G2" s="3"/>
      <c r="H2" s="3"/>
      <c r="I2" s="3"/>
      <c r="J2" s="3"/>
      <c r="K2" s="3"/>
      <c r="L2" s="3"/>
      <c r="M2" s="3"/>
      <c r="N2" s="3"/>
      <c r="O2" s="3"/>
      <c r="P2" s="3"/>
      <c r="Q2" s="3"/>
      <c r="R2" s="3"/>
      <c r="S2" s="3"/>
      <c r="T2" s="3"/>
      <c r="U2" s="3"/>
      <c r="V2" s="3"/>
      <c r="W2" s="3"/>
      <c r="X2" s="3"/>
      <c r="Y2" s="3"/>
      <c r="Z2" s="2"/>
      <c r="AA2" s="2"/>
      <c r="AB2" s="2"/>
      <c r="AC2" s="3"/>
      <c r="AD2" s="3"/>
      <c r="AE2" s="2" t="s">
        <v>21</v>
      </c>
      <c r="AF2" s="3"/>
      <c r="AG2" s="3"/>
      <c r="AH2" s="3"/>
      <c r="AI2" s="3"/>
      <c r="AJ2" s="3"/>
      <c r="AK2" s="3"/>
      <c r="AL2" s="3"/>
      <c r="AM2" s="3"/>
      <c r="AN2" s="3"/>
      <c r="AO2" s="3"/>
    </row>
    <row r="3" spans="1:41" ht="22.5" customHeight="1">
      <c r="A3" s="2" t="s">
        <v>22</v>
      </c>
      <c r="B3" s="2"/>
      <c r="C3" s="2"/>
      <c r="D3" s="2"/>
      <c r="E3" s="2"/>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21" customHeight="1">
      <c r="A4" s="4" t="s">
        <v>23</v>
      </c>
      <c r="B4" s="5" t="s">
        <v>24</v>
      </c>
      <c r="C4" s="5"/>
      <c r="D4" s="5"/>
      <c r="E4" s="5"/>
      <c r="F4" s="6" t="s">
        <v>25</v>
      </c>
      <c r="G4" s="7"/>
      <c r="H4" s="7"/>
      <c r="I4" s="7"/>
      <c r="J4" s="7"/>
      <c r="K4" s="7"/>
      <c r="L4" s="7"/>
      <c r="M4" s="7"/>
      <c r="N4" s="7"/>
      <c r="O4" s="7"/>
      <c r="P4" s="7"/>
      <c r="Q4" s="7"/>
      <c r="R4" s="7"/>
      <c r="S4" s="7"/>
      <c r="T4" s="7"/>
      <c r="U4" s="7"/>
      <c r="V4" s="7"/>
      <c r="W4" s="7"/>
      <c r="X4" s="7"/>
      <c r="Y4" s="7"/>
      <c r="Z4" s="7"/>
      <c r="AA4" s="7"/>
      <c r="AB4" s="7"/>
      <c r="AC4" s="7"/>
      <c r="AD4" s="7"/>
      <c r="AE4" s="7"/>
      <c r="AF4" s="7"/>
      <c r="AG4" s="46"/>
      <c r="AH4" s="47" t="s">
        <v>26</v>
      </c>
      <c r="AI4" s="48"/>
      <c r="AJ4" s="48"/>
      <c r="AK4" s="48"/>
      <c r="AL4" s="48"/>
      <c r="AM4" s="48"/>
      <c r="AN4" s="49" t="s">
        <v>27</v>
      </c>
      <c r="AO4" s="49" t="s">
        <v>28</v>
      </c>
    </row>
    <row r="5" spans="1:41" ht="21" customHeight="1">
      <c r="A5" s="8"/>
      <c r="B5" s="5"/>
      <c r="C5" s="5"/>
      <c r="D5" s="5"/>
      <c r="E5" s="5"/>
      <c r="F5" s="9" t="s">
        <v>29</v>
      </c>
      <c r="G5" s="9" t="s">
        <v>30</v>
      </c>
      <c r="H5" s="9"/>
      <c r="I5" s="9"/>
      <c r="J5" s="9"/>
      <c r="K5" s="9"/>
      <c r="L5" s="9"/>
      <c r="M5" s="9"/>
      <c r="N5" s="9"/>
      <c r="O5" s="9"/>
      <c r="P5" s="9"/>
      <c r="Q5" s="9"/>
      <c r="R5" s="9"/>
      <c r="S5" s="9"/>
      <c r="T5" s="9"/>
      <c r="U5" s="9"/>
      <c r="V5" s="9"/>
      <c r="W5" s="9"/>
      <c r="X5" s="9"/>
      <c r="Y5" s="6" t="s">
        <v>31</v>
      </c>
      <c r="Z5" s="7"/>
      <c r="AA5" s="7"/>
      <c r="AB5" s="7"/>
      <c r="AC5" s="7"/>
      <c r="AD5" s="7"/>
      <c r="AE5" s="7"/>
      <c r="AF5" s="7"/>
      <c r="AG5" s="46"/>
      <c r="AH5" s="50"/>
      <c r="AI5" s="51"/>
      <c r="AJ5" s="51"/>
      <c r="AK5" s="51"/>
      <c r="AL5" s="51"/>
      <c r="AM5" s="51"/>
      <c r="AN5" s="52"/>
      <c r="AO5" s="52"/>
    </row>
    <row r="6" spans="1:41" ht="33" customHeight="1">
      <c r="A6" s="8"/>
      <c r="B6" s="5"/>
      <c r="C6" s="5"/>
      <c r="D6" s="5"/>
      <c r="E6" s="5"/>
      <c r="F6" s="9"/>
      <c r="G6" s="10" t="s">
        <v>32</v>
      </c>
      <c r="H6" s="11" t="s">
        <v>33</v>
      </c>
      <c r="I6" s="11"/>
      <c r="J6" s="11"/>
      <c r="K6" s="11"/>
      <c r="L6" s="11"/>
      <c r="M6" s="11"/>
      <c r="N6" s="11"/>
      <c r="O6" s="11"/>
      <c r="P6" s="11"/>
      <c r="Q6" s="11"/>
      <c r="R6" s="10" t="s">
        <v>34</v>
      </c>
      <c r="S6" s="10"/>
      <c r="T6" s="10"/>
      <c r="U6" s="10" t="s">
        <v>35</v>
      </c>
      <c r="V6" s="10"/>
      <c r="W6" s="10"/>
      <c r="X6" s="10"/>
      <c r="Y6" s="39" t="s">
        <v>32</v>
      </c>
      <c r="Z6" s="10" t="s">
        <v>36</v>
      </c>
      <c r="AA6" s="10"/>
      <c r="AB6" s="10"/>
      <c r="AC6" s="40" t="s">
        <v>37</v>
      </c>
      <c r="AD6" s="41"/>
      <c r="AE6" s="41"/>
      <c r="AF6" s="41"/>
      <c r="AG6" s="53"/>
      <c r="AH6" s="50"/>
      <c r="AI6" s="51"/>
      <c r="AJ6" s="51"/>
      <c r="AK6" s="51"/>
      <c r="AL6" s="51"/>
      <c r="AM6" s="51"/>
      <c r="AN6" s="52"/>
      <c r="AO6" s="52"/>
    </row>
    <row r="7" spans="1:41" ht="60" customHeight="1">
      <c r="A7" s="8"/>
      <c r="B7" s="12" t="s">
        <v>29</v>
      </c>
      <c r="C7" s="13" t="s">
        <v>38</v>
      </c>
      <c r="D7" s="12" t="s">
        <v>30</v>
      </c>
      <c r="E7" s="12" t="s">
        <v>31</v>
      </c>
      <c r="F7" s="9"/>
      <c r="G7" s="10"/>
      <c r="H7" s="11" t="s">
        <v>32</v>
      </c>
      <c r="I7" s="25" t="s">
        <v>39</v>
      </c>
      <c r="J7" s="26"/>
      <c r="K7" s="27"/>
      <c r="L7" s="28" t="s">
        <v>40</v>
      </c>
      <c r="M7" s="28"/>
      <c r="N7" s="28" t="s">
        <v>41</v>
      </c>
      <c r="O7" s="28"/>
      <c r="P7" s="28"/>
      <c r="Q7" s="34"/>
      <c r="R7" s="35" t="s">
        <v>42</v>
      </c>
      <c r="S7" s="28" t="s">
        <v>43</v>
      </c>
      <c r="T7" s="28"/>
      <c r="U7" s="36" t="s">
        <v>42</v>
      </c>
      <c r="V7" s="28" t="s">
        <v>44</v>
      </c>
      <c r="W7" s="28"/>
      <c r="X7" s="28"/>
      <c r="Y7" s="42"/>
      <c r="Z7" s="36" t="s">
        <v>42</v>
      </c>
      <c r="AA7" s="28" t="s">
        <v>45</v>
      </c>
      <c r="AB7" s="28"/>
      <c r="AC7" s="10" t="s">
        <v>42</v>
      </c>
      <c r="AD7" s="43" t="s">
        <v>46</v>
      </c>
      <c r="AE7" s="44"/>
      <c r="AF7" s="44"/>
      <c r="AG7" s="54"/>
      <c r="AH7" s="11" t="s">
        <v>29</v>
      </c>
      <c r="AI7" s="11" t="s">
        <v>47</v>
      </c>
      <c r="AJ7" s="11" t="s">
        <v>48</v>
      </c>
      <c r="AK7" s="11" t="s">
        <v>49</v>
      </c>
      <c r="AL7" s="11" t="s">
        <v>50</v>
      </c>
      <c r="AM7" s="55" t="s">
        <v>51</v>
      </c>
      <c r="AN7" s="52"/>
      <c r="AO7" s="52"/>
    </row>
    <row r="8" spans="1:41" ht="33" customHeight="1">
      <c r="A8" s="14"/>
      <c r="B8" s="15"/>
      <c r="C8" s="16"/>
      <c r="D8" s="15"/>
      <c r="E8" s="15"/>
      <c r="F8" s="9"/>
      <c r="G8" s="10"/>
      <c r="H8" s="11"/>
      <c r="I8" s="11" t="s">
        <v>52</v>
      </c>
      <c r="J8" s="11" t="s">
        <v>53</v>
      </c>
      <c r="K8" s="11" t="s">
        <v>54</v>
      </c>
      <c r="L8" s="29" t="s">
        <v>55</v>
      </c>
      <c r="M8" s="29" t="s">
        <v>56</v>
      </c>
      <c r="N8" s="29" t="s">
        <v>57</v>
      </c>
      <c r="O8" s="29" t="s">
        <v>58</v>
      </c>
      <c r="P8" s="30" t="s">
        <v>59</v>
      </c>
      <c r="Q8" s="11"/>
      <c r="R8" s="37"/>
      <c r="S8" s="29" t="s">
        <v>55</v>
      </c>
      <c r="T8" s="29" t="s">
        <v>56</v>
      </c>
      <c r="U8" s="36"/>
      <c r="V8" s="29" t="s">
        <v>57</v>
      </c>
      <c r="W8" s="29" t="s">
        <v>58</v>
      </c>
      <c r="X8" s="30" t="s">
        <v>59</v>
      </c>
      <c r="Y8" s="45"/>
      <c r="Z8" s="36"/>
      <c r="AA8" s="29" t="s">
        <v>55</v>
      </c>
      <c r="AB8" s="29" t="s">
        <v>56</v>
      </c>
      <c r="AC8" s="10"/>
      <c r="AD8" s="29" t="s">
        <v>60</v>
      </c>
      <c r="AE8" s="29" t="s">
        <v>61</v>
      </c>
      <c r="AF8" s="29" t="s">
        <v>57</v>
      </c>
      <c r="AG8" s="29" t="s">
        <v>58</v>
      </c>
      <c r="AH8" s="11"/>
      <c r="AI8" s="11"/>
      <c r="AJ8" s="11"/>
      <c r="AK8" s="11"/>
      <c r="AL8" s="11"/>
      <c r="AM8" s="56"/>
      <c r="AN8" s="57"/>
      <c r="AO8" s="57"/>
    </row>
    <row r="9" spans="1:41" ht="25.5" customHeight="1">
      <c r="A9" s="17" t="s">
        <v>62</v>
      </c>
      <c r="B9" s="18">
        <f>SUM(B10:B11)</f>
        <v>219727.98439276667</v>
      </c>
      <c r="C9" s="19">
        <f>B9/$B$9</f>
        <v>1</v>
      </c>
      <c r="D9" s="18">
        <f aca="true" t="shared" si="0" ref="D9:K9">SUM(D10:D11)</f>
        <v>14361.609900266667</v>
      </c>
      <c r="E9" s="18">
        <f t="shared" si="0"/>
        <v>205366.37449250004</v>
      </c>
      <c r="F9" s="20">
        <f t="shared" si="0"/>
        <v>-461421.18637033337</v>
      </c>
      <c r="G9" s="20">
        <f t="shared" si="0"/>
        <v>-50688.43738533334</v>
      </c>
      <c r="H9" s="20">
        <f t="shared" si="0"/>
        <v>-20769.595154000002</v>
      </c>
      <c r="I9" s="20">
        <f t="shared" si="0"/>
        <v>-16343.194601333335</v>
      </c>
      <c r="J9" s="20">
        <f t="shared" si="0"/>
        <v>-789.16</v>
      </c>
      <c r="K9" s="20">
        <f t="shared" si="0"/>
        <v>-3637.2405526666666</v>
      </c>
      <c r="L9" s="20">
        <f aca="true" t="shared" si="1" ref="L9:R9">SUM(L10:L11)</f>
        <v>-7709.5595706</v>
      </c>
      <c r="M9" s="20">
        <f t="shared" si="1"/>
        <v>-856.6177300666668</v>
      </c>
      <c r="N9" s="20">
        <f t="shared" si="1"/>
        <v>-491.02747461</v>
      </c>
      <c r="O9" s="20">
        <f t="shared" si="1"/>
        <v>-54.55860829</v>
      </c>
      <c r="P9" s="20">
        <f t="shared" si="1"/>
        <v>-1273.0341934333333</v>
      </c>
      <c r="Q9" s="20">
        <f t="shared" si="1"/>
        <v>0</v>
      </c>
      <c r="R9" s="20">
        <f t="shared" si="1"/>
        <v>-2177.2005200000003</v>
      </c>
      <c r="S9" s="20">
        <f aca="true" t="shared" si="2" ref="R9:AH9">SUM(S10:S11)</f>
        <v>-979.740234</v>
      </c>
      <c r="T9" s="20">
        <f t="shared" si="2"/>
        <v>-108.86002600000002</v>
      </c>
      <c r="U9" s="20">
        <f t="shared" si="2"/>
        <v>-27741.641711333334</v>
      </c>
      <c r="V9" s="20">
        <f t="shared" si="2"/>
        <v>-3745.121631029999</v>
      </c>
      <c r="W9" s="20">
        <f t="shared" si="2"/>
        <v>-416.12462567</v>
      </c>
      <c r="X9" s="20">
        <f t="shared" si="2"/>
        <v>-9709.574598966667</v>
      </c>
      <c r="Y9" s="20">
        <f t="shared" si="2"/>
        <v>-410732.748985</v>
      </c>
      <c r="Z9" s="20">
        <f t="shared" si="2"/>
        <v>-306796.00893433334</v>
      </c>
      <c r="AA9" s="20">
        <f t="shared" si="2"/>
        <v>-138058.20402045</v>
      </c>
      <c r="AB9" s="20">
        <f t="shared" si="2"/>
        <v>-15339.800446716668</v>
      </c>
      <c r="AC9" s="20">
        <f t="shared" si="2"/>
        <v>-103936.74005066666</v>
      </c>
      <c r="AD9" s="20">
        <f t="shared" si="2"/>
        <v>-28374.730033832</v>
      </c>
      <c r="AE9" s="20">
        <f t="shared" si="2"/>
        <v>-8003.1289839013325</v>
      </c>
      <c r="AF9" s="20">
        <f t="shared" si="2"/>
        <v>-14031.45990684</v>
      </c>
      <c r="AG9" s="20">
        <f t="shared" si="2"/>
        <v>-1559.0511007599998</v>
      </c>
      <c r="AH9" s="58">
        <f>SUM(AI9:AJ9,AL9,AM9)</f>
        <v>154777</v>
      </c>
      <c r="AI9" s="58">
        <f aca="true" t="shared" si="3" ref="AI9:AL9">SUM(AI10:AI11)</f>
        <v>33977</v>
      </c>
      <c r="AJ9" s="58">
        <f t="shared" si="3"/>
        <v>95146</v>
      </c>
      <c r="AK9" s="58">
        <v>17727</v>
      </c>
      <c r="AL9" s="58">
        <f t="shared" si="3"/>
        <v>32779</v>
      </c>
      <c r="AM9" s="58">
        <v>-7125</v>
      </c>
      <c r="AN9" s="58">
        <f>SUM(AN10:AN11)</f>
        <v>154778</v>
      </c>
      <c r="AO9" s="58">
        <f>SUM(AO10:AO11)</f>
        <v>-7125</v>
      </c>
    </row>
    <row r="10" spans="1:41" ht="25.5" customHeight="1">
      <c r="A10" s="21" t="s">
        <v>63</v>
      </c>
      <c r="B10" s="22">
        <f aca="true" t="shared" si="4" ref="B10:B22">SUM(D10:E10)</f>
        <v>148606.766223</v>
      </c>
      <c r="C10" s="19">
        <f>B10/$B$9</f>
        <v>0.6763215283373439</v>
      </c>
      <c r="D10" s="22">
        <f aca="true" t="shared" si="5" ref="D10:D22">(L10+M10+N10+O10+S10+T10+V10+W10)*-1</f>
        <v>8244.300789666668</v>
      </c>
      <c r="E10" s="22">
        <f aca="true" t="shared" si="6" ref="E10:E22">(AA10+AB10+AD10+AE10+AF10+AG10)*-1</f>
        <v>140362.46543333336</v>
      </c>
      <c r="F10" s="20">
        <f>SUM(G10,Y10)</f>
        <v>-300850.09415333334</v>
      </c>
      <c r="G10" s="20">
        <f aca="true" t="shared" si="7" ref="G10:G22">SUM(R10,H10,U10)</f>
        <v>-20125.16328666667</v>
      </c>
      <c r="H10" s="23">
        <f>SUM(I10:K10)</f>
        <v>-14930.075133333334</v>
      </c>
      <c r="I10" s="31">
        <v>-14930.075133333334</v>
      </c>
      <c r="J10" s="31"/>
      <c r="K10" s="31"/>
      <c r="L10" s="32">
        <f aca="true" t="shared" si="8" ref="L10:L22">(I10+J10)/2*0.9</f>
        <v>-6718.53381</v>
      </c>
      <c r="M10" s="32">
        <f aca="true" t="shared" si="9" ref="M10:M22">(I10+J10)/2*0.1</f>
        <v>-746.5037566666667</v>
      </c>
      <c r="N10" s="23">
        <f aca="true" t="shared" si="10" ref="N10:N22">$K10*0.15*0.9</f>
        <v>0</v>
      </c>
      <c r="O10" s="23">
        <f aca="true" t="shared" si="11" ref="O10:O22">$K10*0.15*0.1</f>
        <v>0</v>
      </c>
      <c r="P10" s="23">
        <f aca="true" t="shared" si="12" ref="P10:P22">$K10*0.35</f>
        <v>0</v>
      </c>
      <c r="Q10" s="31"/>
      <c r="R10" s="38"/>
      <c r="S10" s="32">
        <f>$R10/2*0.9</f>
        <v>0</v>
      </c>
      <c r="T10" s="32">
        <f>$R10/2*0.1</f>
        <v>0</v>
      </c>
      <c r="U10" s="23">
        <v>-5195.088153333334</v>
      </c>
      <c r="V10" s="23">
        <f>$U10*0.15*0.9</f>
        <v>-701.3369007</v>
      </c>
      <c r="W10" s="23">
        <f>$U10*0.15*0.1</f>
        <v>-77.92632230000001</v>
      </c>
      <c r="X10" s="23">
        <f>$U10*0.35</f>
        <v>-1818.2808536666669</v>
      </c>
      <c r="Y10" s="20">
        <f aca="true" t="shared" si="13" ref="Y10:Y22">SUM(Z10,AC10)</f>
        <v>-280724.93086666666</v>
      </c>
      <c r="Z10" s="23">
        <v>-249082.80033333335</v>
      </c>
      <c r="AA10" s="32">
        <f>$Z10/2*0.9</f>
        <v>-112087.26015</v>
      </c>
      <c r="AB10" s="32">
        <f>$Z10/2*0.1</f>
        <v>-12454.140016666668</v>
      </c>
      <c r="AC10" s="23">
        <v>-31642.130533333333</v>
      </c>
      <c r="AD10" s="23">
        <f>$AC10*0.35*0.78</f>
        <v>-8638.301635599999</v>
      </c>
      <c r="AE10" s="23">
        <f>$AC10*0.35*0.22</f>
        <v>-2436.4440510666664</v>
      </c>
      <c r="AF10" s="23">
        <f>$AC10*0.15*0.9</f>
        <v>-4271.6876219999995</v>
      </c>
      <c r="AG10" s="23">
        <f aca="true" t="shared" si="14" ref="AG10:AG22">$AC10*0.15*0.1</f>
        <v>-474.63195799999994</v>
      </c>
      <c r="AH10" s="58">
        <f>SUM(AI10:AL10)</f>
        <v>111208</v>
      </c>
      <c r="AI10" s="59">
        <v>13011</v>
      </c>
      <c r="AJ10" s="59">
        <v>79088</v>
      </c>
      <c r="AK10" s="59"/>
      <c r="AL10" s="59">
        <v>19109</v>
      </c>
      <c r="AM10" s="59"/>
      <c r="AN10" s="59">
        <f>ROUND($AH$9*C10,0)</f>
        <v>104679</v>
      </c>
      <c r="AO10" s="59">
        <f>AN10-AH10-1</f>
        <v>-6530</v>
      </c>
    </row>
    <row r="11" spans="1:41" ht="25.5" customHeight="1">
      <c r="A11" s="17" t="s">
        <v>64</v>
      </c>
      <c r="B11" s="18">
        <f>SUM(B12:B22)</f>
        <v>71121.21816976665</v>
      </c>
      <c r="C11" s="19">
        <f aca="true" t="shared" si="15" ref="C11:C22">B11/$B$9</f>
        <v>0.323678471662656</v>
      </c>
      <c r="D11" s="18">
        <f aca="true" t="shared" si="16" ref="D11:K11">SUM(D12:D22)</f>
        <v>6117.309110599999</v>
      </c>
      <c r="E11" s="18">
        <f t="shared" si="16"/>
        <v>65003.90905916667</v>
      </c>
      <c r="F11" s="20">
        <f t="shared" si="16"/>
        <v>-160571.09221700003</v>
      </c>
      <c r="G11" s="20">
        <f t="shared" si="16"/>
        <v>-30563.274098666665</v>
      </c>
      <c r="H11" s="20">
        <f t="shared" si="16"/>
        <v>-5839.520020666667</v>
      </c>
      <c r="I11" s="20">
        <f t="shared" si="16"/>
        <v>-1413.119468</v>
      </c>
      <c r="J11" s="20">
        <f t="shared" si="16"/>
        <v>-789.16</v>
      </c>
      <c r="K11" s="20">
        <f t="shared" si="16"/>
        <v>-3637.2405526666666</v>
      </c>
      <c r="L11" s="20">
        <f aca="true" t="shared" si="17" ref="L11:R11">SUM(L12:L22)</f>
        <v>-991.0257606000001</v>
      </c>
      <c r="M11" s="20">
        <f t="shared" si="17"/>
        <v>-110.11397340000002</v>
      </c>
      <c r="N11" s="20">
        <f t="shared" si="17"/>
        <v>-491.02747461</v>
      </c>
      <c r="O11" s="20">
        <f t="shared" si="17"/>
        <v>-54.55860829</v>
      </c>
      <c r="P11" s="20">
        <f t="shared" si="17"/>
        <v>-1273.0341934333333</v>
      </c>
      <c r="Q11" s="20">
        <f t="shared" si="17"/>
        <v>0</v>
      </c>
      <c r="R11" s="20">
        <f t="shared" si="17"/>
        <v>-2177.2005200000003</v>
      </c>
      <c r="S11" s="20">
        <f aca="true" t="shared" si="18" ref="R11:AJ11">SUM(S12:S22)</f>
        <v>-979.740234</v>
      </c>
      <c r="T11" s="20">
        <f t="shared" si="18"/>
        <v>-108.86002600000002</v>
      </c>
      <c r="U11" s="20">
        <f t="shared" si="18"/>
        <v>-22546.553558</v>
      </c>
      <c r="V11" s="20">
        <f t="shared" si="18"/>
        <v>-3043.784730329999</v>
      </c>
      <c r="W11" s="20">
        <f t="shared" si="18"/>
        <v>-338.19830336999996</v>
      </c>
      <c r="X11" s="20">
        <f t="shared" si="18"/>
        <v>-7891.2937452999995</v>
      </c>
      <c r="Y11" s="20">
        <f t="shared" si="18"/>
        <v>-130007.81811833334</v>
      </c>
      <c r="Z11" s="20">
        <f t="shared" si="18"/>
        <v>-57713.208601000006</v>
      </c>
      <c r="AA11" s="20">
        <f t="shared" si="18"/>
        <v>-25970.943870450006</v>
      </c>
      <c r="AB11" s="20">
        <f t="shared" si="18"/>
        <v>-2885.66043005</v>
      </c>
      <c r="AC11" s="20">
        <f t="shared" si="18"/>
        <v>-72294.60951733333</v>
      </c>
      <c r="AD11" s="20">
        <f t="shared" si="18"/>
        <v>-19736.428398232</v>
      </c>
      <c r="AE11" s="20">
        <f t="shared" si="18"/>
        <v>-5566.684932834666</v>
      </c>
      <c r="AF11" s="20">
        <f t="shared" si="18"/>
        <v>-9759.77228484</v>
      </c>
      <c r="AG11" s="20">
        <f t="shared" si="18"/>
        <v>-1084.4191427599999</v>
      </c>
      <c r="AH11" s="58">
        <f t="shared" si="18"/>
        <v>50694</v>
      </c>
      <c r="AI11" s="58">
        <f t="shared" si="18"/>
        <v>20966</v>
      </c>
      <c r="AJ11" s="58">
        <f t="shared" si="18"/>
        <v>16058</v>
      </c>
      <c r="AK11" s="58"/>
      <c r="AL11" s="58">
        <f>SUM(AL12:AL22)</f>
        <v>13670</v>
      </c>
      <c r="AM11" s="58"/>
      <c r="AN11" s="58">
        <f>SUM(AN12:AN22)</f>
        <v>50099</v>
      </c>
      <c r="AO11" s="58">
        <f>SUM(AO12:AO22)</f>
        <v>-595</v>
      </c>
    </row>
    <row r="12" spans="1:41" ht="25.5" customHeight="1">
      <c r="A12" s="21" t="s">
        <v>65</v>
      </c>
      <c r="B12" s="22">
        <f t="shared" si="4"/>
        <v>16498.633553333333</v>
      </c>
      <c r="C12" s="19">
        <f t="shared" si="15"/>
        <v>0.07508662858273804</v>
      </c>
      <c r="D12" s="22">
        <f t="shared" si="5"/>
        <v>4004.6812574999994</v>
      </c>
      <c r="E12" s="22">
        <f t="shared" si="6"/>
        <v>12493.952295833335</v>
      </c>
      <c r="F12" s="20">
        <f aca="true" t="shared" si="19" ref="F12:F22">SUM(G12,Y12)</f>
        <v>-42759.44093366667</v>
      </c>
      <c r="G12" s="20">
        <f t="shared" si="7"/>
        <v>-17771.536342</v>
      </c>
      <c r="H12" s="23">
        <f>SUM(I12:K12)</f>
        <v>-1852.43</v>
      </c>
      <c r="I12" s="33">
        <v>-1105.91</v>
      </c>
      <c r="J12" s="33">
        <v>-746.52</v>
      </c>
      <c r="K12" s="23"/>
      <c r="L12" s="32">
        <f t="shared" si="8"/>
        <v>-833.5935000000001</v>
      </c>
      <c r="M12" s="32">
        <f t="shared" si="9"/>
        <v>-92.62150000000001</v>
      </c>
      <c r="N12" s="23">
        <f t="shared" si="10"/>
        <v>0</v>
      </c>
      <c r="O12" s="23">
        <f t="shared" si="11"/>
        <v>0</v>
      </c>
      <c r="P12" s="23">
        <f t="shared" si="12"/>
        <v>0</v>
      </c>
      <c r="Q12" s="23"/>
      <c r="R12" s="32">
        <v>-1973.143732</v>
      </c>
      <c r="S12" s="32">
        <f>$R12/2*0.9</f>
        <v>-887.9146794000001</v>
      </c>
      <c r="T12" s="32">
        <f>$R12/2*0.1</f>
        <v>-98.6571866</v>
      </c>
      <c r="U12" s="32">
        <v>-13945.962609999999</v>
      </c>
      <c r="V12" s="23">
        <f aca="true" t="shared" si="20" ref="V12:V22">$U12*0.15*0.9</f>
        <v>-1882.7049523499995</v>
      </c>
      <c r="W12" s="23">
        <f aca="true" t="shared" si="21" ref="W12:W22">$U12*0.15*0.1</f>
        <v>-209.18943914999997</v>
      </c>
      <c r="X12" s="23">
        <f aca="true" t="shared" si="22" ref="X12:X22">$U12*0.35</f>
        <v>-4881.086913499999</v>
      </c>
      <c r="Y12" s="20">
        <f t="shared" si="13"/>
        <v>-24987.90459166667</v>
      </c>
      <c r="Z12" s="32">
        <v>-21521.41906666667</v>
      </c>
      <c r="AA12" s="32">
        <f aca="true" t="shared" si="23" ref="AA12:AA22">$Z12/2*0.9</f>
        <v>-9684.63858</v>
      </c>
      <c r="AB12" s="32">
        <f aca="true" t="shared" si="24" ref="AB12:AB22">$Z12/2*0.1</f>
        <v>-1076.0709533333336</v>
      </c>
      <c r="AC12" s="32">
        <v>-3466.485525</v>
      </c>
      <c r="AD12" s="23">
        <f aca="true" t="shared" si="25" ref="AD12:AD22">$AC12*0.35*0.78</f>
        <v>-946.3505483249999</v>
      </c>
      <c r="AE12" s="23">
        <f aca="true" t="shared" si="26" ref="AE12:AE22">$AC12*0.35*0.22</f>
        <v>-266.919385425</v>
      </c>
      <c r="AF12" s="23">
        <f aca="true" t="shared" si="27" ref="AF12:AF22">$AC12*0.15*0.9</f>
        <v>-467.97554587499997</v>
      </c>
      <c r="AG12" s="23">
        <f t="shared" si="14"/>
        <v>-51.997282874999996</v>
      </c>
      <c r="AH12" s="58">
        <f>SUM(AI12:AL12)</f>
        <v>12160</v>
      </c>
      <c r="AI12" s="59">
        <v>7020</v>
      </c>
      <c r="AJ12" s="59">
        <v>8895</v>
      </c>
      <c r="AK12" s="59"/>
      <c r="AL12" s="59">
        <v>-3755</v>
      </c>
      <c r="AM12" s="59"/>
      <c r="AN12" s="59">
        <f aca="true" t="shared" si="28" ref="AN10:AN22">ROUND($AH$9*C12,0)</f>
        <v>11622</v>
      </c>
      <c r="AO12" s="59">
        <f aca="true" t="shared" si="29" ref="AO10:AO22">AN12-AH12</f>
        <v>-538</v>
      </c>
    </row>
    <row r="13" spans="1:41" ht="25.5" customHeight="1">
      <c r="A13" s="21" t="s">
        <v>66</v>
      </c>
      <c r="B13" s="22">
        <f t="shared" si="4"/>
        <v>5654.585034833334</v>
      </c>
      <c r="C13" s="19">
        <f t="shared" si="15"/>
        <v>0.025734478248003626</v>
      </c>
      <c r="D13" s="22">
        <f t="shared" si="5"/>
        <v>490.94536149999993</v>
      </c>
      <c r="E13" s="22">
        <f t="shared" si="6"/>
        <v>5163.639673333334</v>
      </c>
      <c r="F13" s="20">
        <f t="shared" si="19"/>
        <v>-13183.913224333335</v>
      </c>
      <c r="G13" s="20">
        <f t="shared" si="7"/>
        <v>-2856.6338776666666</v>
      </c>
      <c r="H13" s="23">
        <f aca="true" t="shared" si="30" ref="H13:H22">SUM(I13:K13)</f>
        <v>-881.0785866666668</v>
      </c>
      <c r="I13" s="23"/>
      <c r="J13" s="23"/>
      <c r="K13" s="23">
        <v>-881.0785866666668</v>
      </c>
      <c r="L13" s="32">
        <f t="shared" si="8"/>
        <v>0</v>
      </c>
      <c r="M13" s="32">
        <f t="shared" si="9"/>
        <v>0</v>
      </c>
      <c r="N13" s="23">
        <f t="shared" si="10"/>
        <v>-118.9456092</v>
      </c>
      <c r="O13" s="23">
        <f t="shared" si="11"/>
        <v>-13.216178800000002</v>
      </c>
      <c r="P13" s="23">
        <f t="shared" si="12"/>
        <v>-308.3775053333333</v>
      </c>
      <c r="Q13" s="23"/>
      <c r="R13" s="32">
        <v>-178.429371</v>
      </c>
      <c r="S13" s="32">
        <f aca="true" t="shared" si="31" ref="S13:S22">$R13/2*0.9</f>
        <v>-80.29321695</v>
      </c>
      <c r="T13" s="32">
        <f aca="true" t="shared" si="32" ref="T13:T22">$R13/2*0.1</f>
        <v>-8.92146855</v>
      </c>
      <c r="U13" s="32">
        <v>-1797.12592</v>
      </c>
      <c r="V13" s="23">
        <f t="shared" si="20"/>
        <v>-242.61199919999996</v>
      </c>
      <c r="W13" s="23">
        <f t="shared" si="21"/>
        <v>-26.956888799999998</v>
      </c>
      <c r="X13" s="23">
        <f t="shared" si="22"/>
        <v>-628.994072</v>
      </c>
      <c r="Y13" s="20">
        <f t="shared" si="13"/>
        <v>-10327.279346666668</v>
      </c>
      <c r="Z13" s="32">
        <v>-8218.535253333335</v>
      </c>
      <c r="AA13" s="32">
        <f t="shared" si="23"/>
        <v>-3698.340864000001</v>
      </c>
      <c r="AB13" s="32">
        <f t="shared" si="24"/>
        <v>-410.9267626666668</v>
      </c>
      <c r="AC13" s="32">
        <v>-2108.7440933333332</v>
      </c>
      <c r="AD13" s="23">
        <f t="shared" si="25"/>
        <v>-575.6871374799999</v>
      </c>
      <c r="AE13" s="23">
        <f t="shared" si="26"/>
        <v>-162.37329518666664</v>
      </c>
      <c r="AF13" s="23">
        <f t="shared" si="27"/>
        <v>-284.68045259999997</v>
      </c>
      <c r="AG13" s="23">
        <f t="shared" si="14"/>
        <v>-31.631161399999996</v>
      </c>
      <c r="AH13" s="58">
        <f>SUM(AI13:AL13)</f>
        <v>4099</v>
      </c>
      <c r="AI13" s="59"/>
      <c r="AJ13" s="59"/>
      <c r="AK13" s="59"/>
      <c r="AL13" s="59">
        <v>4099</v>
      </c>
      <c r="AM13" s="59"/>
      <c r="AN13" s="59">
        <f t="shared" si="28"/>
        <v>3983</v>
      </c>
      <c r="AO13" s="59">
        <f t="shared" si="29"/>
        <v>-116</v>
      </c>
    </row>
    <row r="14" spans="1:41" ht="25.5" customHeight="1">
      <c r="A14" s="24" t="s">
        <v>67</v>
      </c>
      <c r="B14" s="22">
        <f t="shared" si="4"/>
        <v>1806.2440695999999</v>
      </c>
      <c r="C14" s="19">
        <f t="shared" si="15"/>
        <v>0.008220364258979934</v>
      </c>
      <c r="D14" s="22">
        <f t="shared" si="5"/>
        <v>28.0987876</v>
      </c>
      <c r="E14" s="22">
        <f t="shared" si="6"/>
        <v>1778.145282</v>
      </c>
      <c r="F14" s="20">
        <f t="shared" si="19"/>
        <v>-3699.329148</v>
      </c>
      <c r="G14" s="20">
        <f t="shared" si="7"/>
        <v>-143.03858400000001</v>
      </c>
      <c r="H14" s="23">
        <f t="shared" si="30"/>
        <v>-18.98</v>
      </c>
      <c r="I14" s="23">
        <v>-18.98</v>
      </c>
      <c r="J14" s="23"/>
      <c r="K14" s="23"/>
      <c r="L14" s="32">
        <f t="shared" si="8"/>
        <v>-8.541</v>
      </c>
      <c r="M14" s="32">
        <f t="shared" si="9"/>
        <v>-0.9490000000000001</v>
      </c>
      <c r="N14" s="23">
        <f t="shared" si="10"/>
        <v>0</v>
      </c>
      <c r="O14" s="23">
        <f t="shared" si="11"/>
        <v>0</v>
      </c>
      <c r="P14" s="23">
        <f t="shared" si="12"/>
        <v>0</v>
      </c>
      <c r="Q14" s="23"/>
      <c r="R14" s="23">
        <v>0</v>
      </c>
      <c r="S14" s="32">
        <f t="shared" si="31"/>
        <v>0</v>
      </c>
      <c r="T14" s="32">
        <f t="shared" si="32"/>
        <v>0</v>
      </c>
      <c r="U14" s="23">
        <v>-124.05858400000001</v>
      </c>
      <c r="V14" s="23">
        <f t="shared" si="20"/>
        <v>-16.74790884</v>
      </c>
      <c r="W14" s="23">
        <f t="shared" si="21"/>
        <v>-1.86087876</v>
      </c>
      <c r="X14" s="23">
        <f t="shared" si="22"/>
        <v>-43.4205044</v>
      </c>
      <c r="Y14" s="20">
        <f t="shared" si="13"/>
        <v>-3556.290564</v>
      </c>
      <c r="Z14" s="32">
        <v>-2000.29076</v>
      </c>
      <c r="AA14" s="32">
        <f t="shared" si="23"/>
        <v>-900.130842</v>
      </c>
      <c r="AB14" s="32">
        <f t="shared" si="24"/>
        <v>-100.01453800000002</v>
      </c>
      <c r="AC14" s="32">
        <v>-1555.9998039999998</v>
      </c>
      <c r="AD14" s="23">
        <f t="shared" si="25"/>
        <v>-424.78794649199995</v>
      </c>
      <c r="AE14" s="23">
        <f t="shared" si="26"/>
        <v>-119.81198490799999</v>
      </c>
      <c r="AF14" s="23">
        <f t="shared" si="27"/>
        <v>-210.05997353999996</v>
      </c>
      <c r="AG14" s="23">
        <f t="shared" si="14"/>
        <v>-23.339997059999998</v>
      </c>
      <c r="AH14" s="58">
        <f aca="true" t="shared" si="33" ref="AH10:AH22">SUM(AI14:AL14)</f>
        <v>876</v>
      </c>
      <c r="AI14" s="59">
        <v>225</v>
      </c>
      <c r="AJ14" s="59"/>
      <c r="AK14" s="59"/>
      <c r="AL14" s="59">
        <v>651</v>
      </c>
      <c r="AM14" s="59"/>
      <c r="AN14" s="59">
        <f t="shared" si="28"/>
        <v>1272</v>
      </c>
      <c r="AO14" s="59">
        <f t="shared" si="29"/>
        <v>396</v>
      </c>
    </row>
    <row r="15" spans="1:41" ht="25.5" customHeight="1">
      <c r="A15" s="24" t="s">
        <v>68</v>
      </c>
      <c r="B15" s="22">
        <f t="shared" si="4"/>
        <v>899.4098284500001</v>
      </c>
      <c r="C15" s="19">
        <f t="shared" si="15"/>
        <v>0.004093287575251649</v>
      </c>
      <c r="D15" s="22">
        <f t="shared" si="5"/>
        <v>107.54721545000001</v>
      </c>
      <c r="E15" s="22">
        <f t="shared" si="6"/>
        <v>791.862613</v>
      </c>
      <c r="F15" s="20">
        <f t="shared" si="19"/>
        <v>-2201.213329</v>
      </c>
      <c r="G15" s="20">
        <f t="shared" si="7"/>
        <v>-617.488103</v>
      </c>
      <c r="H15" s="23">
        <f t="shared" si="30"/>
        <v>-468.61</v>
      </c>
      <c r="I15" s="23"/>
      <c r="J15" s="33">
        <v>-42.64</v>
      </c>
      <c r="K15" s="33">
        <v>-425.97</v>
      </c>
      <c r="L15" s="32">
        <f t="shared" si="8"/>
        <v>-19.188000000000002</v>
      </c>
      <c r="M15" s="32">
        <f t="shared" si="9"/>
        <v>-2.132</v>
      </c>
      <c r="N15" s="23">
        <f t="shared" si="10"/>
        <v>-57.50595</v>
      </c>
      <c r="O15" s="23">
        <f t="shared" si="11"/>
        <v>-6.38955</v>
      </c>
      <c r="P15" s="23">
        <f t="shared" si="12"/>
        <v>-149.0895</v>
      </c>
      <c r="Q15" s="23"/>
      <c r="R15" s="23">
        <v>0</v>
      </c>
      <c r="S15" s="32">
        <f t="shared" si="31"/>
        <v>0</v>
      </c>
      <c r="T15" s="32">
        <f t="shared" si="32"/>
        <v>0</v>
      </c>
      <c r="U15" s="23">
        <v>-148.878103</v>
      </c>
      <c r="V15" s="23">
        <f t="shared" si="20"/>
        <v>-20.098543905</v>
      </c>
      <c r="W15" s="23">
        <f t="shared" si="21"/>
        <v>-2.2331715450000003</v>
      </c>
      <c r="X15" s="23">
        <f t="shared" si="22"/>
        <v>-52.10733605</v>
      </c>
      <c r="Y15" s="20">
        <f t="shared" si="13"/>
        <v>-1583.725226</v>
      </c>
      <c r="Z15" s="32">
        <v>-1583.725226</v>
      </c>
      <c r="AA15" s="32">
        <f t="shared" si="23"/>
        <v>-712.6763517</v>
      </c>
      <c r="AB15" s="32">
        <f t="shared" si="24"/>
        <v>-79.18626130000001</v>
      </c>
      <c r="AC15" s="23">
        <v>0</v>
      </c>
      <c r="AD15" s="23">
        <f t="shared" si="25"/>
        <v>0</v>
      </c>
      <c r="AE15" s="23">
        <f t="shared" si="26"/>
        <v>0</v>
      </c>
      <c r="AF15" s="23">
        <f t="shared" si="27"/>
        <v>0</v>
      </c>
      <c r="AG15" s="23">
        <f t="shared" si="14"/>
        <v>0</v>
      </c>
      <c r="AH15" s="58">
        <f t="shared" si="33"/>
        <v>628</v>
      </c>
      <c r="AI15" s="59">
        <v>447</v>
      </c>
      <c r="AJ15" s="59">
        <v>190</v>
      </c>
      <c r="AK15" s="59"/>
      <c r="AL15" s="59">
        <v>-9</v>
      </c>
      <c r="AM15" s="59"/>
      <c r="AN15" s="59">
        <f t="shared" si="28"/>
        <v>634</v>
      </c>
      <c r="AO15" s="59">
        <f t="shared" si="29"/>
        <v>6</v>
      </c>
    </row>
    <row r="16" spans="1:41" ht="25.5" customHeight="1">
      <c r="A16" s="24" t="s">
        <v>69</v>
      </c>
      <c r="B16" s="22">
        <f t="shared" si="4"/>
        <v>2603.7245170999995</v>
      </c>
      <c r="C16" s="19">
        <f t="shared" si="15"/>
        <v>0.011849762897955718</v>
      </c>
      <c r="D16" s="22">
        <f t="shared" si="5"/>
        <v>99.45228410000001</v>
      </c>
      <c r="E16" s="22">
        <f t="shared" si="6"/>
        <v>2504.2722329999997</v>
      </c>
      <c r="F16" s="20">
        <f t="shared" si="19"/>
        <v>-5669.377917</v>
      </c>
      <c r="G16" s="20">
        <f t="shared" si="7"/>
        <v>-660.8334510000001</v>
      </c>
      <c r="H16" s="23">
        <f t="shared" si="30"/>
        <v>0</v>
      </c>
      <c r="I16" s="23"/>
      <c r="J16" s="23"/>
      <c r="K16" s="23"/>
      <c r="L16" s="32">
        <f t="shared" si="8"/>
        <v>0</v>
      </c>
      <c r="M16" s="32">
        <f t="shared" si="9"/>
        <v>0</v>
      </c>
      <c r="N16" s="23">
        <f t="shared" si="10"/>
        <v>0</v>
      </c>
      <c r="O16" s="23">
        <f t="shared" si="11"/>
        <v>0</v>
      </c>
      <c r="P16" s="23">
        <f t="shared" si="12"/>
        <v>0</v>
      </c>
      <c r="Q16" s="23"/>
      <c r="R16" s="23">
        <v>-0.935047</v>
      </c>
      <c r="S16" s="32">
        <f t="shared" si="31"/>
        <v>-0.42077115</v>
      </c>
      <c r="T16" s="32">
        <f t="shared" si="32"/>
        <v>-0.04675235</v>
      </c>
      <c r="U16" s="23">
        <v>-659.898404</v>
      </c>
      <c r="V16" s="23">
        <f t="shared" si="20"/>
        <v>-89.08628454000001</v>
      </c>
      <c r="W16" s="23">
        <f t="shared" si="21"/>
        <v>-9.89847606</v>
      </c>
      <c r="X16" s="23">
        <f t="shared" si="22"/>
        <v>-230.9644414</v>
      </c>
      <c r="Y16" s="20">
        <f t="shared" si="13"/>
        <v>-5008.544465999999</v>
      </c>
      <c r="Z16" s="32">
        <v>-4897.506068</v>
      </c>
      <c r="AA16" s="32">
        <f t="shared" si="23"/>
        <v>-2203.8777305999997</v>
      </c>
      <c r="AB16" s="32">
        <f t="shared" si="24"/>
        <v>-244.8753034</v>
      </c>
      <c r="AC16" s="32">
        <v>-111.038398</v>
      </c>
      <c r="AD16" s="23">
        <f t="shared" si="25"/>
        <v>-30.313482653999998</v>
      </c>
      <c r="AE16" s="23">
        <f t="shared" si="26"/>
        <v>-8.549956646</v>
      </c>
      <c r="AF16" s="23">
        <f t="shared" si="27"/>
        <v>-14.990183730000002</v>
      </c>
      <c r="AG16" s="23">
        <f t="shared" si="14"/>
        <v>-1.6655759700000001</v>
      </c>
      <c r="AH16" s="58">
        <f t="shared" si="33"/>
        <v>2056</v>
      </c>
      <c r="AI16" s="59">
        <v>1528</v>
      </c>
      <c r="AJ16" s="59">
        <v>496</v>
      </c>
      <c r="AK16" s="59"/>
      <c r="AL16" s="59">
        <v>32</v>
      </c>
      <c r="AM16" s="59"/>
      <c r="AN16" s="59">
        <f t="shared" si="28"/>
        <v>1834</v>
      </c>
      <c r="AO16" s="59">
        <f t="shared" si="29"/>
        <v>-222</v>
      </c>
    </row>
    <row r="17" spans="1:41" ht="25.5" customHeight="1">
      <c r="A17" s="24" t="s">
        <v>70</v>
      </c>
      <c r="B17" s="22">
        <f t="shared" si="4"/>
        <v>1231.8389395499996</v>
      </c>
      <c r="C17" s="19">
        <f t="shared" si="15"/>
        <v>0.005606199606091463</v>
      </c>
      <c r="D17" s="22">
        <f t="shared" si="5"/>
        <v>20.461895550000005</v>
      </c>
      <c r="E17" s="22">
        <f t="shared" si="6"/>
        <v>1211.3770439999996</v>
      </c>
      <c r="F17" s="20">
        <f t="shared" si="19"/>
        <v>-2559.1667249999996</v>
      </c>
      <c r="G17" s="20">
        <f t="shared" si="7"/>
        <v>-136.41263700000002</v>
      </c>
      <c r="H17" s="23">
        <f t="shared" si="30"/>
        <v>0</v>
      </c>
      <c r="I17" s="23"/>
      <c r="J17" s="23"/>
      <c r="K17" s="23"/>
      <c r="L17" s="32">
        <f t="shared" si="8"/>
        <v>0</v>
      </c>
      <c r="M17" s="32">
        <f t="shared" si="9"/>
        <v>0</v>
      </c>
      <c r="N17" s="23">
        <f t="shared" si="10"/>
        <v>0</v>
      </c>
      <c r="O17" s="23">
        <f t="shared" si="11"/>
        <v>0</v>
      </c>
      <c r="P17" s="23">
        <f t="shared" si="12"/>
        <v>0</v>
      </c>
      <c r="Q17" s="23"/>
      <c r="R17" s="23">
        <v>0</v>
      </c>
      <c r="S17" s="32">
        <f t="shared" si="31"/>
        <v>0</v>
      </c>
      <c r="T17" s="32">
        <f t="shared" si="32"/>
        <v>0</v>
      </c>
      <c r="U17" s="23">
        <v>-136.41263700000002</v>
      </c>
      <c r="V17" s="23">
        <f t="shared" si="20"/>
        <v>-18.415705995000003</v>
      </c>
      <c r="W17" s="23">
        <f t="shared" si="21"/>
        <v>-2.046189555</v>
      </c>
      <c r="X17" s="23">
        <f t="shared" si="22"/>
        <v>-47.74442295</v>
      </c>
      <c r="Y17" s="20">
        <f t="shared" si="13"/>
        <v>-2422.7540879999997</v>
      </c>
      <c r="Z17" s="32">
        <v>-2153.472418</v>
      </c>
      <c r="AA17" s="32">
        <f t="shared" si="23"/>
        <v>-969.0625881</v>
      </c>
      <c r="AB17" s="32">
        <f t="shared" si="24"/>
        <v>-107.6736209</v>
      </c>
      <c r="AC17" s="32">
        <v>-269.28167</v>
      </c>
      <c r="AD17" s="23">
        <f t="shared" si="25"/>
        <v>-73.51389591</v>
      </c>
      <c r="AE17" s="23">
        <f t="shared" si="26"/>
        <v>-20.73468859</v>
      </c>
      <c r="AF17" s="23">
        <f t="shared" si="27"/>
        <v>-36.353025450000004</v>
      </c>
      <c r="AG17" s="23">
        <f t="shared" si="14"/>
        <v>-4.039225050000001</v>
      </c>
      <c r="AH17" s="58">
        <f t="shared" si="33"/>
        <v>869</v>
      </c>
      <c r="AI17" s="59">
        <v>1591</v>
      </c>
      <c r="AJ17" s="59"/>
      <c r="AK17" s="59"/>
      <c r="AL17" s="59">
        <v>-722</v>
      </c>
      <c r="AM17" s="59"/>
      <c r="AN17" s="59">
        <f t="shared" si="28"/>
        <v>868</v>
      </c>
      <c r="AO17" s="59">
        <f t="shared" si="29"/>
        <v>-1</v>
      </c>
    </row>
    <row r="18" spans="1:41" ht="25.5" customHeight="1">
      <c r="A18" s="24" t="s">
        <v>71</v>
      </c>
      <c r="B18" s="22">
        <f t="shared" si="4"/>
        <v>1136.2406637499998</v>
      </c>
      <c r="C18" s="19">
        <f t="shared" si="15"/>
        <v>0.005171124046352488</v>
      </c>
      <c r="D18" s="22">
        <f t="shared" si="5"/>
        <v>241.17265275</v>
      </c>
      <c r="E18" s="22">
        <f t="shared" si="6"/>
        <v>895.068011</v>
      </c>
      <c r="F18" s="20">
        <f t="shared" si="19"/>
        <v>-3397.9537069999997</v>
      </c>
      <c r="G18" s="20">
        <f t="shared" si="7"/>
        <v>-1607.817685</v>
      </c>
      <c r="H18" s="23">
        <f t="shared" si="30"/>
        <v>0</v>
      </c>
      <c r="I18" s="23"/>
      <c r="J18" s="23"/>
      <c r="K18" s="23"/>
      <c r="L18" s="32">
        <f t="shared" si="8"/>
        <v>0</v>
      </c>
      <c r="M18" s="32">
        <f t="shared" si="9"/>
        <v>0</v>
      </c>
      <c r="N18" s="23">
        <f t="shared" si="10"/>
        <v>0</v>
      </c>
      <c r="O18" s="23">
        <f t="shared" si="11"/>
        <v>0</v>
      </c>
      <c r="P18" s="23">
        <f t="shared" si="12"/>
        <v>0</v>
      </c>
      <c r="Q18" s="23"/>
      <c r="R18" s="23">
        <v>0</v>
      </c>
      <c r="S18" s="32">
        <f t="shared" si="31"/>
        <v>0</v>
      </c>
      <c r="T18" s="32">
        <f t="shared" si="32"/>
        <v>0</v>
      </c>
      <c r="U18" s="23">
        <v>-1607.817685</v>
      </c>
      <c r="V18" s="23">
        <f t="shared" si="20"/>
        <v>-217.055387475</v>
      </c>
      <c r="W18" s="23">
        <f t="shared" si="21"/>
        <v>-24.117265275</v>
      </c>
      <c r="X18" s="23">
        <f t="shared" si="22"/>
        <v>-562.73618975</v>
      </c>
      <c r="Y18" s="20">
        <f t="shared" si="13"/>
        <v>-1790.136022</v>
      </c>
      <c r="Z18" s="32">
        <v>-1573.386888</v>
      </c>
      <c r="AA18" s="32">
        <f t="shared" si="23"/>
        <v>-708.0240996</v>
      </c>
      <c r="AB18" s="32">
        <f t="shared" si="24"/>
        <v>-78.6693444</v>
      </c>
      <c r="AC18" s="23">
        <v>-216.749134</v>
      </c>
      <c r="AD18" s="23">
        <f t="shared" si="25"/>
        <v>-59.172513582</v>
      </c>
      <c r="AE18" s="23">
        <f t="shared" si="26"/>
        <v>-16.689683318</v>
      </c>
      <c r="AF18" s="23">
        <f t="shared" si="27"/>
        <v>-29.261133089999998</v>
      </c>
      <c r="AG18" s="23">
        <f t="shared" si="14"/>
        <v>-3.25123701</v>
      </c>
      <c r="AH18" s="58">
        <f t="shared" si="33"/>
        <v>866</v>
      </c>
      <c r="AI18" s="59">
        <v>2545</v>
      </c>
      <c r="AJ18" s="59"/>
      <c r="AK18" s="59"/>
      <c r="AL18" s="59">
        <v>-1679</v>
      </c>
      <c r="AM18" s="59"/>
      <c r="AN18" s="59">
        <f t="shared" si="28"/>
        <v>800</v>
      </c>
      <c r="AO18" s="59">
        <f t="shared" si="29"/>
        <v>-66</v>
      </c>
    </row>
    <row r="19" spans="1:41" ht="25.5" customHeight="1">
      <c r="A19" s="24" t="s">
        <v>72</v>
      </c>
      <c r="B19" s="22">
        <f t="shared" si="4"/>
        <v>1640.750026</v>
      </c>
      <c r="C19" s="19">
        <f t="shared" si="15"/>
        <v>0.007467187352281618</v>
      </c>
      <c r="D19" s="22">
        <f t="shared" si="5"/>
        <v>144.114734</v>
      </c>
      <c r="E19" s="22">
        <f t="shared" si="6"/>
        <v>1496.635292</v>
      </c>
      <c r="F19" s="20">
        <f t="shared" si="19"/>
        <v>-3281.500052</v>
      </c>
      <c r="G19" s="20">
        <f t="shared" si="7"/>
        <v>-288.229468</v>
      </c>
      <c r="H19" s="23">
        <f t="shared" si="30"/>
        <v>-288.229468</v>
      </c>
      <c r="I19" s="23">
        <v>-288.229468</v>
      </c>
      <c r="J19" s="23"/>
      <c r="K19" s="23"/>
      <c r="L19" s="32">
        <f t="shared" si="8"/>
        <v>-129.7032606</v>
      </c>
      <c r="M19" s="32">
        <f t="shared" si="9"/>
        <v>-14.4114734</v>
      </c>
      <c r="N19" s="23">
        <f t="shared" si="10"/>
        <v>0</v>
      </c>
      <c r="O19" s="23">
        <f t="shared" si="11"/>
        <v>0</v>
      </c>
      <c r="P19" s="23">
        <f t="shared" si="12"/>
        <v>0</v>
      </c>
      <c r="Q19" s="23"/>
      <c r="R19" s="23">
        <v>0</v>
      </c>
      <c r="S19" s="32">
        <f t="shared" si="31"/>
        <v>0</v>
      </c>
      <c r="T19" s="32">
        <f t="shared" si="32"/>
        <v>0</v>
      </c>
      <c r="U19" s="23">
        <v>0</v>
      </c>
      <c r="V19" s="23">
        <f t="shared" si="20"/>
        <v>0</v>
      </c>
      <c r="W19" s="23">
        <f t="shared" si="21"/>
        <v>0</v>
      </c>
      <c r="X19" s="23">
        <f t="shared" si="22"/>
        <v>0</v>
      </c>
      <c r="Y19" s="20">
        <f t="shared" si="13"/>
        <v>-2993.270584</v>
      </c>
      <c r="Z19" s="32">
        <v>-2410.427678</v>
      </c>
      <c r="AA19" s="32">
        <f t="shared" si="23"/>
        <v>-1084.6924551</v>
      </c>
      <c r="AB19" s="32">
        <f t="shared" si="24"/>
        <v>-120.5213839</v>
      </c>
      <c r="AC19" s="32">
        <v>-582.842906</v>
      </c>
      <c r="AD19" s="23">
        <f t="shared" si="25"/>
        <v>-159.116113338</v>
      </c>
      <c r="AE19" s="23">
        <f t="shared" si="26"/>
        <v>-44.878903762</v>
      </c>
      <c r="AF19" s="23">
        <f t="shared" si="27"/>
        <v>-78.68379230999999</v>
      </c>
      <c r="AG19" s="23">
        <f t="shared" si="14"/>
        <v>-8.742643589999998</v>
      </c>
      <c r="AH19" s="58">
        <f t="shared" si="33"/>
        <v>1240</v>
      </c>
      <c r="AI19" s="59">
        <v>1774</v>
      </c>
      <c r="AJ19" s="59"/>
      <c r="AK19" s="59"/>
      <c r="AL19" s="59">
        <v>-534</v>
      </c>
      <c r="AM19" s="59"/>
      <c r="AN19" s="59">
        <f t="shared" si="28"/>
        <v>1156</v>
      </c>
      <c r="AO19" s="59">
        <f t="shared" si="29"/>
        <v>-84</v>
      </c>
    </row>
    <row r="20" spans="1:41" ht="25.5" customHeight="1">
      <c r="A20" s="24" t="s">
        <v>73</v>
      </c>
      <c r="B20" s="22">
        <f t="shared" si="4"/>
        <v>3718.7859450499996</v>
      </c>
      <c r="C20" s="19">
        <f t="shared" si="15"/>
        <v>0.01692449851268203</v>
      </c>
      <c r="D20" s="22">
        <f t="shared" si="5"/>
        <v>430.29342254999995</v>
      </c>
      <c r="E20" s="22">
        <f t="shared" si="6"/>
        <v>3288.4925224999997</v>
      </c>
      <c r="F20" s="20">
        <f t="shared" si="19"/>
        <v>-9445.607861999999</v>
      </c>
      <c r="G20" s="20">
        <f t="shared" si="7"/>
        <v>-2868.622817</v>
      </c>
      <c r="H20" s="23">
        <f t="shared" si="30"/>
        <v>-2330.191966</v>
      </c>
      <c r="I20" s="23"/>
      <c r="J20" s="23"/>
      <c r="K20" s="23">
        <v>-2330.191966</v>
      </c>
      <c r="L20" s="32">
        <f t="shared" si="8"/>
        <v>0</v>
      </c>
      <c r="M20" s="32">
        <f t="shared" si="9"/>
        <v>0</v>
      </c>
      <c r="N20" s="23">
        <f t="shared" si="10"/>
        <v>-314.57591541</v>
      </c>
      <c r="O20" s="23">
        <f t="shared" si="11"/>
        <v>-34.95287949</v>
      </c>
      <c r="P20" s="23">
        <f t="shared" si="12"/>
        <v>-815.5671881</v>
      </c>
      <c r="Q20" s="23"/>
      <c r="R20" s="23">
        <v>0</v>
      </c>
      <c r="S20" s="32">
        <f t="shared" si="31"/>
        <v>0</v>
      </c>
      <c r="T20" s="32">
        <f t="shared" si="32"/>
        <v>0</v>
      </c>
      <c r="U20" s="23">
        <v>-538.430851</v>
      </c>
      <c r="V20" s="23">
        <f t="shared" si="20"/>
        <v>-72.68816488499999</v>
      </c>
      <c r="W20" s="23">
        <f t="shared" si="21"/>
        <v>-8.076462765</v>
      </c>
      <c r="X20" s="23">
        <f t="shared" si="22"/>
        <v>-188.45079785</v>
      </c>
      <c r="Y20" s="20">
        <f t="shared" si="13"/>
        <v>-6576.985044999999</v>
      </c>
      <c r="Z20" s="32">
        <v>-4436.030115</v>
      </c>
      <c r="AA20" s="32">
        <f t="shared" si="23"/>
        <v>-1996.2135517499999</v>
      </c>
      <c r="AB20" s="32">
        <f t="shared" si="24"/>
        <v>-221.80150575</v>
      </c>
      <c r="AC20" s="32">
        <v>-2140.95493</v>
      </c>
      <c r="AD20" s="23">
        <f t="shared" si="25"/>
        <v>-584.4806958899999</v>
      </c>
      <c r="AE20" s="23">
        <f t="shared" si="26"/>
        <v>-164.85352960999998</v>
      </c>
      <c r="AF20" s="23">
        <f t="shared" si="27"/>
        <v>-289.02891555</v>
      </c>
      <c r="AG20" s="23">
        <f t="shared" si="14"/>
        <v>-32.11432395</v>
      </c>
      <c r="AH20" s="58">
        <f t="shared" si="33"/>
        <v>2474</v>
      </c>
      <c r="AI20" s="59">
        <v>2150</v>
      </c>
      <c r="AJ20" s="59"/>
      <c r="AK20" s="59"/>
      <c r="AL20" s="59">
        <v>324</v>
      </c>
      <c r="AM20" s="59"/>
      <c r="AN20" s="59">
        <f t="shared" si="28"/>
        <v>2620</v>
      </c>
      <c r="AO20" s="59">
        <f t="shared" si="29"/>
        <v>146</v>
      </c>
    </row>
    <row r="21" spans="1:41" ht="25.5" customHeight="1">
      <c r="A21" s="24" t="s">
        <v>74</v>
      </c>
      <c r="B21" s="22">
        <f t="shared" si="4"/>
        <v>1748.0120737500001</v>
      </c>
      <c r="C21" s="19">
        <f t="shared" si="15"/>
        <v>0.007955345690630855</v>
      </c>
      <c r="D21" s="22">
        <f t="shared" si="5"/>
        <v>34.099830749999995</v>
      </c>
      <c r="E21" s="22">
        <f t="shared" si="6"/>
        <v>1713.9122430000002</v>
      </c>
      <c r="F21" s="20">
        <f t="shared" si="19"/>
        <v>-3607.640411</v>
      </c>
      <c r="G21" s="20">
        <f t="shared" si="7"/>
        <v>-179.815925</v>
      </c>
      <c r="H21" s="23">
        <f t="shared" si="30"/>
        <v>0</v>
      </c>
      <c r="I21" s="23"/>
      <c r="J21" s="23"/>
      <c r="K21" s="23"/>
      <c r="L21" s="32">
        <f t="shared" si="8"/>
        <v>0</v>
      </c>
      <c r="M21" s="32">
        <f t="shared" si="9"/>
        <v>0</v>
      </c>
      <c r="N21" s="23">
        <f t="shared" si="10"/>
        <v>0</v>
      </c>
      <c r="O21" s="23">
        <f t="shared" si="11"/>
        <v>0</v>
      </c>
      <c r="P21" s="23">
        <f t="shared" si="12"/>
        <v>0</v>
      </c>
      <c r="Q21" s="23"/>
      <c r="R21" s="23">
        <v>-20.36412</v>
      </c>
      <c r="S21" s="32">
        <f t="shared" si="31"/>
        <v>-9.163854</v>
      </c>
      <c r="T21" s="32">
        <f t="shared" si="32"/>
        <v>-1.018206</v>
      </c>
      <c r="U21" s="23">
        <v>-159.451805</v>
      </c>
      <c r="V21" s="23">
        <f t="shared" si="20"/>
        <v>-21.525993675</v>
      </c>
      <c r="W21" s="23">
        <f t="shared" si="21"/>
        <v>-2.391777075</v>
      </c>
      <c r="X21" s="23">
        <f t="shared" si="22"/>
        <v>-55.80813175</v>
      </c>
      <c r="Y21" s="20">
        <f t="shared" si="13"/>
        <v>-3427.824486</v>
      </c>
      <c r="Z21" s="32">
        <v>-3064.978341</v>
      </c>
      <c r="AA21" s="32">
        <f t="shared" si="23"/>
        <v>-1379.24025345</v>
      </c>
      <c r="AB21" s="32">
        <f t="shared" si="24"/>
        <v>-153.24891705000002</v>
      </c>
      <c r="AC21" s="32">
        <v>-362.84614500000004</v>
      </c>
      <c r="AD21" s="23">
        <f t="shared" si="25"/>
        <v>-99.056997585</v>
      </c>
      <c r="AE21" s="23">
        <f t="shared" si="26"/>
        <v>-27.939153165</v>
      </c>
      <c r="AF21" s="23">
        <f t="shared" si="27"/>
        <v>-48.98422957500001</v>
      </c>
      <c r="AG21" s="23">
        <f t="shared" si="14"/>
        <v>-5.442692175000001</v>
      </c>
      <c r="AH21" s="58">
        <f t="shared" si="33"/>
        <v>1059</v>
      </c>
      <c r="AI21" s="59">
        <v>991</v>
      </c>
      <c r="AJ21" s="59"/>
      <c r="AK21" s="59"/>
      <c r="AL21" s="59">
        <v>68</v>
      </c>
      <c r="AM21" s="59"/>
      <c r="AN21" s="59">
        <f t="shared" si="28"/>
        <v>1231</v>
      </c>
      <c r="AO21" s="59">
        <f t="shared" si="29"/>
        <v>172</v>
      </c>
    </row>
    <row r="22" spans="1:41" ht="25.5" customHeight="1">
      <c r="A22" s="21" t="s">
        <v>18</v>
      </c>
      <c r="B22" s="22">
        <f t="shared" si="4"/>
        <v>34182.99351835</v>
      </c>
      <c r="C22" s="19">
        <f t="shared" si="15"/>
        <v>0.15556959489168865</v>
      </c>
      <c r="D22" s="22">
        <f t="shared" si="5"/>
        <v>516.44166885</v>
      </c>
      <c r="E22" s="22">
        <f t="shared" si="6"/>
        <v>33666.5518495</v>
      </c>
      <c r="F22" s="20">
        <f t="shared" si="19"/>
        <v>-70765.948908</v>
      </c>
      <c r="G22" s="20">
        <f t="shared" si="7"/>
        <v>-3432.8452090000005</v>
      </c>
      <c r="H22" s="23">
        <f t="shared" si="30"/>
        <v>0</v>
      </c>
      <c r="I22" s="23"/>
      <c r="J22" s="23"/>
      <c r="K22" s="23"/>
      <c r="L22" s="32">
        <f t="shared" si="8"/>
        <v>0</v>
      </c>
      <c r="M22" s="32">
        <f t="shared" si="9"/>
        <v>0</v>
      </c>
      <c r="N22" s="23">
        <f t="shared" si="10"/>
        <v>0</v>
      </c>
      <c r="O22" s="23">
        <f t="shared" si="11"/>
        <v>0</v>
      </c>
      <c r="P22" s="23">
        <f t="shared" si="12"/>
        <v>0</v>
      </c>
      <c r="Q22" s="23"/>
      <c r="R22" s="23">
        <v>-4.32825</v>
      </c>
      <c r="S22" s="32">
        <f t="shared" si="31"/>
        <v>-1.9477125</v>
      </c>
      <c r="T22" s="32">
        <f t="shared" si="32"/>
        <v>-0.2164125</v>
      </c>
      <c r="U22" s="23">
        <v>-3428.5169590000005</v>
      </c>
      <c r="V22" s="23">
        <f t="shared" si="20"/>
        <v>-462.849789465</v>
      </c>
      <c r="W22" s="23">
        <f t="shared" si="21"/>
        <v>-51.42775438500001</v>
      </c>
      <c r="X22" s="23">
        <f t="shared" si="22"/>
        <v>-1199.98093565</v>
      </c>
      <c r="Y22" s="20">
        <f t="shared" si="13"/>
        <v>-67333.103699</v>
      </c>
      <c r="Z22" s="32">
        <v>-5853.436787</v>
      </c>
      <c r="AA22" s="32">
        <f t="shared" si="23"/>
        <v>-2634.04655415</v>
      </c>
      <c r="AB22" s="32">
        <f t="shared" si="24"/>
        <v>-292.67183934999997</v>
      </c>
      <c r="AC22" s="32">
        <v>-61479.666912</v>
      </c>
      <c r="AD22" s="23">
        <f t="shared" si="25"/>
        <v>-16783.949066976</v>
      </c>
      <c r="AE22" s="23">
        <f t="shared" si="26"/>
        <v>-4733.934352224</v>
      </c>
      <c r="AF22" s="23">
        <f t="shared" si="27"/>
        <v>-8299.75503312</v>
      </c>
      <c r="AG22" s="23">
        <f t="shared" si="14"/>
        <v>-922.1950036799999</v>
      </c>
      <c r="AH22" s="58">
        <f t="shared" si="33"/>
        <v>24367</v>
      </c>
      <c r="AI22" s="59">
        <v>2695</v>
      </c>
      <c r="AJ22" s="59">
        <v>6477</v>
      </c>
      <c r="AK22" s="59"/>
      <c r="AL22" s="59">
        <v>15195</v>
      </c>
      <c r="AM22" s="59"/>
      <c r="AN22" s="59">
        <f t="shared" si="28"/>
        <v>24079</v>
      </c>
      <c r="AO22" s="59">
        <f t="shared" si="29"/>
        <v>-288</v>
      </c>
    </row>
    <row r="69" ht="9" customHeight="1"/>
    <row r="70" ht="13.5" hidden="1"/>
  </sheetData>
  <sheetProtection/>
  <mergeCells count="39">
    <mergeCell ref="A1:AO1"/>
    <mergeCell ref="F4:AG4"/>
    <mergeCell ref="G5:X5"/>
    <mergeCell ref="Y5:AG5"/>
    <mergeCell ref="H6:Q6"/>
    <mergeCell ref="R6:T6"/>
    <mergeCell ref="U6:X6"/>
    <mergeCell ref="Z6:AB6"/>
    <mergeCell ref="AC6:AG6"/>
    <mergeCell ref="I7:K7"/>
    <mergeCell ref="L7:M7"/>
    <mergeCell ref="N7:P7"/>
    <mergeCell ref="S7:T7"/>
    <mergeCell ref="V7:X7"/>
    <mergeCell ref="AA7:AB7"/>
    <mergeCell ref="AD7:AG7"/>
    <mergeCell ref="A4:A8"/>
    <mergeCell ref="B7:B8"/>
    <mergeCell ref="C7:C8"/>
    <mergeCell ref="D7:D8"/>
    <mergeCell ref="E7:E8"/>
    <mergeCell ref="F5:F8"/>
    <mergeCell ref="G6:G8"/>
    <mergeCell ref="H7:H8"/>
    <mergeCell ref="R7:R8"/>
    <mergeCell ref="U7:U8"/>
    <mergeCell ref="Y6:Y8"/>
    <mergeCell ref="Z7:Z8"/>
    <mergeCell ref="AC7:AC8"/>
    <mergeCell ref="AH7:AH8"/>
    <mergeCell ref="AI7:AI8"/>
    <mergeCell ref="AJ7:AJ8"/>
    <mergeCell ref="AK7:AK8"/>
    <mergeCell ref="AL7:AL8"/>
    <mergeCell ref="AM7:AM8"/>
    <mergeCell ref="AN4:AN8"/>
    <mergeCell ref="AO4:AO8"/>
    <mergeCell ref="B4:E6"/>
    <mergeCell ref="AH4:AM6"/>
  </mergeCells>
  <printOptions horizontalCentered="1"/>
  <pageMargins left="0.2361111111111111" right="0.2361111111111111" top="0.7868055555555555" bottom="0.60625" header="0.5" footer="0.5"/>
  <pageSetup fitToHeight="1" fitToWidth="1" horizontalDpi="600" verticalDpi="600" orientation="landscape" paperSize="8" scale="43"/>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楚雄州直属党政机关单位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杨成虎</dc:creator>
  <cp:keywords/>
  <dc:description/>
  <cp:lastModifiedBy>陈海峰</cp:lastModifiedBy>
  <dcterms:created xsi:type="dcterms:W3CDTF">2022-06-06T06:33:31Z</dcterms:created>
  <dcterms:modified xsi:type="dcterms:W3CDTF">2022-09-15T07:06:01Z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